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080" tabRatio="571" firstSheet="2" activeTab="2"/>
  </bookViews>
  <sheets>
    <sheet name="AÑO 2013" sheetId="1" state="hidden" r:id="rId1"/>
    <sheet name="RESERVA2020" sheetId="2" state="hidden" r:id="rId2"/>
    <sheet name="RESUMEN EJECUCION RESERVA " sheetId="3" r:id="rId3"/>
    <sheet name="RESUMEN EJECUCION VIGENCIA BPM" sheetId="4" state="hidden" r:id="rId4"/>
    <sheet name="RESERVA" sheetId="5" state="hidden" r:id="rId5"/>
    <sheet name="RESUMEN EJECUCION CONSOLIDADO " sheetId="6" state="hidden" r:id="rId6"/>
    <sheet name="EJECUCION GASTOS GENERALES" sheetId="7" state="hidden" r:id="rId7"/>
    <sheet name="RESUMEN EJECUCION I SEM 2013" sheetId="8" state="hidden" r:id="rId8"/>
  </sheets>
  <externalReferences>
    <externalReference r:id="rId11"/>
  </externalReferences>
  <definedNames>
    <definedName name="_xlnm.Print_Titles" localSheetId="0">'AÑO 2013'!$A:$AX,'AÑO 2013'!$1:$12</definedName>
    <definedName name="_xlnm.Print_Titles" localSheetId="6">'EJECUCION GASTOS GENERALES'!$A:$W,'EJECUCION GASTOS GENERALES'!$1:$1</definedName>
    <definedName name="_xlnm.Print_Titles" localSheetId="1">'RESERVA2020'!$4:$10</definedName>
  </definedNames>
  <calcPr fullCalcOnLoad="1"/>
</workbook>
</file>

<file path=xl/sharedStrings.xml><?xml version="1.0" encoding="utf-8"?>
<sst xmlns="http://schemas.openxmlformats.org/spreadsheetml/2006/main" count="1732" uniqueCount="394">
  <si>
    <t>j</t>
  </si>
  <si>
    <t>INFORME DE EJECUCIÓN PRESUPUESTAL</t>
  </si>
  <si>
    <t>MINISTERIO DE MINAS Y ENERGÍA</t>
  </si>
  <si>
    <t>UNIDAD 2101-01 GESTIÓN GENERAL</t>
  </si>
  <si>
    <t>INFORME MENSUAL DE EJECUCIÓN DEL PRESUPUESTO DE GASTOS</t>
  </si>
  <si>
    <t>SECCIÓN: 2101</t>
  </si>
  <si>
    <t>UNIDAD EJECUTORA:  01</t>
  </si>
  <si>
    <t>CODIFICACIÓN PRESUPUESTAL (1)</t>
  </si>
  <si>
    <t>APROPIACIÓN</t>
  </si>
  <si>
    <t>COMPROMISOS</t>
  </si>
  <si>
    <t xml:space="preserve">COMPROMISOS </t>
  </si>
  <si>
    <t>OBLIGACIONES</t>
  </si>
  <si>
    <t xml:space="preserve">PAGOS </t>
  </si>
  <si>
    <t>PAGOS</t>
  </si>
  <si>
    <t xml:space="preserve">TOTAL PAGOS </t>
  </si>
  <si>
    <t>F</t>
  </si>
  <si>
    <t>U</t>
  </si>
  <si>
    <t>CTA</t>
  </si>
  <si>
    <t>SUBC</t>
  </si>
  <si>
    <t>OBJG</t>
  </si>
  <si>
    <t>ORD</t>
  </si>
  <si>
    <t>SUBORD</t>
  </si>
  <si>
    <t>R</t>
  </si>
  <si>
    <t>C/S</t>
  </si>
  <si>
    <t>DESCRIPCIÓN</t>
  </si>
  <si>
    <t>VIGENTE</t>
  </si>
  <si>
    <t>MES ENERO</t>
  </si>
  <si>
    <t>MES FEBRERO</t>
  </si>
  <si>
    <t>MES MARZO</t>
  </si>
  <si>
    <t>MES ABRIL</t>
  </si>
  <si>
    <t>MES MAYO</t>
  </si>
  <si>
    <t>MES JUNIO</t>
  </si>
  <si>
    <t>MES JULIO</t>
  </si>
  <si>
    <t>MES AGOSTO</t>
  </si>
  <si>
    <t>MES SEPTIEMBRE</t>
  </si>
  <si>
    <t>MES OCTUBRE</t>
  </si>
  <si>
    <t>MES NOVIEMBRE</t>
  </si>
  <si>
    <t>MES DICIEMBRE</t>
  </si>
  <si>
    <t>ACUMULADOS</t>
  </si>
  <si>
    <t>ACUMULADAS</t>
  </si>
  <si>
    <t>I</t>
  </si>
  <si>
    <t>E</t>
  </si>
  <si>
    <t>PROG</t>
  </si>
  <si>
    <t>SPR</t>
  </si>
  <si>
    <t>PROY</t>
  </si>
  <si>
    <t>SPRY</t>
  </si>
  <si>
    <t>(2)</t>
  </si>
  <si>
    <t>GASTOS DE PERSONAL</t>
  </si>
  <si>
    <t>01</t>
  </si>
  <si>
    <t>1</t>
  </si>
  <si>
    <t>0</t>
  </si>
  <si>
    <t>10</t>
  </si>
  <si>
    <t>C</t>
  </si>
  <si>
    <t>SUELDOS DE PERSONAL DE NOMINA</t>
  </si>
  <si>
    <t xml:space="preserve"> </t>
  </si>
  <si>
    <t>SUELDOS</t>
  </si>
  <si>
    <t>2</t>
  </si>
  <si>
    <t>SUELDOS DE VACACIONES</t>
  </si>
  <si>
    <t>4</t>
  </si>
  <si>
    <t>INCAPACIDADES Y LICENCIAS DE MATERNIDAD</t>
  </si>
  <si>
    <t>PRIMA TÉCNICA</t>
  </si>
  <si>
    <t>PRIMA TÉCNICA SALARIAL</t>
  </si>
  <si>
    <t xml:space="preserve">F </t>
  </si>
  <si>
    <t>PRIMA TÉCNICA NO SALARIAL</t>
  </si>
  <si>
    <t>5</t>
  </si>
  <si>
    <t>GASTOS DE REPRESENTACIÓN</t>
  </si>
  <si>
    <t>12</t>
  </si>
  <si>
    <t>SUBSIDIO DE ALIMENTACIÓN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</si>
  <si>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</si>
  <si>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</si>
  <si>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</si>
  <si>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</si>
  <si>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</si>
  <si>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</si>
  <si>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</si>
  <si>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</si>
  <si>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19</t>
  </si>
  <si>
    <t>PRIMA DE RIESGO</t>
  </si>
  <si>
    <t>BONIFICACIÓN POR SERVICIOS PRESTADOS</t>
  </si>
  <si>
    <t>21</t>
  </si>
  <si>
    <t>PRIMA DE DIRECCIÓN</t>
  </si>
  <si>
    <t>47</t>
  </si>
  <si>
    <t>PRIMA DE COORDINACIÓN</t>
  </si>
  <si>
    <t>BONIFICACIÓN ESPECIAL DE RECREACIÓN</t>
  </si>
  <si>
    <t>92</t>
  </si>
  <si>
    <t>BONIFICACIÓN DE DIRECCIÓN</t>
  </si>
  <si>
    <t>9</t>
  </si>
  <si>
    <t>HORAS EXTRAS, DÍAS FESTIVOS</t>
  </si>
  <si>
    <t>3</t>
  </si>
  <si>
    <t>INDEMNIZACIÓN POR VACACIONES</t>
  </si>
  <si>
    <t>SERVICIOS PERSONALES INDIRECTOS</t>
  </si>
  <si>
    <t>HONORARIOS</t>
  </si>
  <si>
    <t>REMUNERACIÓN SERVICIOS TÉCNICOS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</si>
  <si>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</si>
  <si>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</si>
  <si>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</si>
  <si>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</si>
  <si>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</si>
  <si>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</si>
  <si>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</si>
  <si>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</si>
  <si>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</si>
  <si>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TÉCNICOS</t>
  </si>
  <si>
    <t>TOTAL GASTOS DE PERSONAL</t>
  </si>
  <si>
    <t>GASTOS GENERALES</t>
  </si>
  <si>
    <t>IMPUESTOS Y MULTAS</t>
  </si>
  <si>
    <t>50</t>
  </si>
  <si>
    <t>ADQUISICIÓN DE BIENES Y SERVICIOS</t>
  </si>
  <si>
    <t>ARRENDAMIENTOS</t>
  </si>
  <si>
    <t>11</t>
  </si>
  <si>
    <t>GASTOS JUDICIALES</t>
  </si>
  <si>
    <t>ENSERES Y EQUIPOS DE OFICINA</t>
  </si>
  <si>
    <t>CAPACITACIÓN, BIENESTAR SOCIAL Y ESTÍMULOS</t>
  </si>
  <si>
    <t>MATERIALES Y SUMINISTROS</t>
  </si>
  <si>
    <t>41</t>
  </si>
  <si>
    <t>OTROS GASTOS POR ADQUISICIÓN DE SERVICIOS</t>
  </si>
  <si>
    <t>MANTENIMIENTO</t>
  </si>
  <si>
    <t>COMUNICACIONES Y TRANSPORTES</t>
  </si>
  <si>
    <t>IMPRESOS Y PUBLICACIONES</t>
  </si>
  <si>
    <t>SERVICIOS PÚBLICOS</t>
  </si>
  <si>
    <t>SEGUROS</t>
  </si>
  <si>
    <t>TOTAL GASTOS GENERALES</t>
  </si>
  <si>
    <t>TRANSFERENCIAS CORRIENTES</t>
  </si>
  <si>
    <t>S</t>
  </si>
  <si>
    <t>CUOTA DE AUDITAJE CONTRANAL</t>
  </si>
  <si>
    <t>RECURSOS DE ORO Y PLATINO PARA LOS MUNICIPIOS PRODUCTORES DECRETO 2173/92</t>
  </si>
  <si>
    <t>43</t>
  </si>
  <si>
    <t>ORGANIZACIÓN INTERNACIONAL DE ENERGÍA ATÓMICA LEY 16 DE 1960</t>
  </si>
  <si>
    <t>APORTES PREVISIÓN PENSIONES VEJEZ JUBILADOS</t>
  </si>
  <si>
    <t>31</t>
  </si>
  <si>
    <t>MESADAS PENSIÓNALES INEA</t>
  </si>
  <si>
    <t>35</t>
  </si>
  <si>
    <t>PAGO COMISIÓN POR ADMÓN. DE LAS PENSIONES DE CARBOCOL</t>
  </si>
  <si>
    <t>45</t>
  </si>
  <si>
    <t>PAGO COMISIÓN POR ADMÓN. DE LAS PENSIONES DE MINERCOL</t>
  </si>
  <si>
    <t>SENTENCIAS Y CONCILIACIONES</t>
  </si>
  <si>
    <t>TOTAL TRANSFERENCIAS</t>
  </si>
  <si>
    <t>TOTAL GASTOS DE  FUNCIONAMIENTO</t>
  </si>
  <si>
    <t>INVERSIÓN</t>
  </si>
  <si>
    <t>500</t>
  </si>
  <si>
    <t>123</t>
  </si>
  <si>
    <t>310</t>
  </si>
  <si>
    <t>202</t>
  </si>
  <si>
    <t>506</t>
  </si>
  <si>
    <t>520</t>
  </si>
  <si>
    <t>17</t>
  </si>
  <si>
    <t>530</t>
  </si>
  <si>
    <t>620</t>
  </si>
  <si>
    <t>630</t>
  </si>
  <si>
    <t>51</t>
  </si>
  <si>
    <t>52</t>
  </si>
  <si>
    <t>TOTAL GASTOS DE  INVERSIÓN</t>
  </si>
  <si>
    <t>TOTAL GASTOS DE FUNCIONAMIENTO MAS INVERSIÓN</t>
  </si>
  <si>
    <t>IMPUESTOS Y CONTRIBUCIONES</t>
  </si>
  <si>
    <t>VIÁTICOS Y GASTOS DE VIAJES</t>
  </si>
  <si>
    <t>ASESORIA TÉCNICA PARA EL SEGUIMIENTO A LOS CONTRATOS Y CONVENIOS DEL SUBSECTOR GAS COMBUSTIBLE NACIONAL</t>
  </si>
  <si>
    <t>DISEÑO Y EJECUCIÓN DE LA ESTRATEGIA PARA LA GESTIÓN NACIONAL E INTERNACIONAL DE LA AGENDA AMBIENTAL DEL SECTOR MINERO ENERGÉTICO COLOMBIANO NACIONAL</t>
  </si>
  <si>
    <t>MULTAS Y SANCIONES</t>
  </si>
  <si>
    <t>OPTIMIZACION Y ORGANIZACIÓN ARCHIVISTICA DE DOCUMENTOS DEL ARCHIVO CENTRAL DEL MME BOGOTA D.C.</t>
  </si>
  <si>
    <t>ACTUALIZACION DE LA INFRAESTRUCTURA INFORMATICA Y DE COMUNICACIONES DEL MME BOGOTA D.C</t>
  </si>
  <si>
    <t xml:space="preserve">MEJORAMIENTO DE LA PRODUCTIVIDAD Y COMPETITIVIDAD MINERA NACIONAL </t>
  </si>
  <si>
    <t>20</t>
  </si>
  <si>
    <t>IMPLEMENTACION DE LA POLITICA DE SEGURIDAD MINERA EN EL TERRITORIO NACIONAL</t>
  </si>
  <si>
    <t>CAPACITACION TEORICO PRACTICA PARA LA REDUCCION O ELIMINACION DEL USO DEL MERCURIO EN PROCESOS DE BENEFICIO DEL ORO EN EL TERRITORIO NACIONAL</t>
  </si>
  <si>
    <t>DISEÑO E IMPLEMENTACION DE HERRAMIENTAS DE LA PARTICIPACION CIUDADANA EN EL MME A NIVEL NACIONAL</t>
  </si>
  <si>
    <t xml:space="preserve">ASESORIA PARA EL ANALISIS Y FORMULACION DEL DESARROLLO DEL SUBSECTOR DE HIDROCARBUROS NACIONAL </t>
  </si>
  <si>
    <t>SALDO</t>
  </si>
  <si>
    <t>DE APROPIACION</t>
  </si>
  <si>
    <t>COMPRA DE EQUIPO</t>
  </si>
  <si>
    <t>ASESORIA, DISEÑO, ADQUISICION, MANTENIMIENTO Y CONSTRUCCION DEL SISTEMA DE INFORMACION DE LA CADENA DE DISTRIBUCION DE COMBUSTIBLES LIQUIDOS DERIVADOS DEL PETROLEO SICOM REGION NACIONAL</t>
  </si>
  <si>
    <r>
      <t xml:space="preserve">APOYO FINANCIERO PARA LA ENERGIZACION DE ZONAS RURALES INTERCONECTADAS </t>
    </r>
    <r>
      <rPr>
        <b/>
        <sz val="9"/>
        <color indexed="8"/>
        <rFont val="Arial"/>
        <family val="2"/>
      </rPr>
      <t>FAER</t>
    </r>
    <r>
      <rPr>
        <sz val="9"/>
        <color indexed="8"/>
        <rFont val="Arial"/>
        <family val="2"/>
      </rPr>
      <t xml:space="preserve"> (ART 105 DE LA LEY 788 DE 2002) REGIÓN NACIONAL</t>
    </r>
  </si>
  <si>
    <r>
      <t>APOYO FINANCIERO A ZONAS NO INTERCONECTADAS</t>
    </r>
    <r>
      <rPr>
        <b/>
        <sz val="9"/>
        <color indexed="8"/>
        <rFont val="Arial"/>
        <family val="2"/>
      </rPr>
      <t xml:space="preserve"> FAZNI</t>
    </r>
  </si>
  <si>
    <r>
      <t xml:space="preserve">DISTRIBUCIÓN DE RECURSOS DEL FONDO ESPECIAL DE ENERGÍA SOCIAL </t>
    </r>
    <r>
      <rPr>
        <b/>
        <sz val="9"/>
        <color indexed="8"/>
        <rFont val="Arial"/>
        <family val="2"/>
      </rPr>
      <t>(FOES )</t>
    </r>
    <r>
      <rPr>
        <sz val="9"/>
        <color indexed="8"/>
        <rFont val="Arial"/>
        <family val="2"/>
      </rPr>
      <t xml:space="preserve"> ART 118 DE LA LEY 812 DE 2003 </t>
    </r>
  </si>
  <si>
    <r>
      <t>APOYO FINANCIERO PARA EL PROGRAMA DE NORMALIZACIÓN DE REDES ELÉCTRICAS</t>
    </r>
    <r>
      <rPr>
        <b/>
        <sz val="9"/>
        <color indexed="8"/>
        <rFont val="Arial"/>
        <family val="2"/>
      </rPr>
      <t xml:space="preserve"> PRONE</t>
    </r>
    <r>
      <rPr>
        <sz val="9"/>
        <color indexed="8"/>
        <rFont val="Arial"/>
        <family val="2"/>
      </rPr>
      <t xml:space="preserve"> NACIONAL</t>
    </r>
  </si>
  <si>
    <r>
      <t xml:space="preserve">ADMINISTRACIÓN MANEJO Y EJECUCIÓN DEL </t>
    </r>
    <r>
      <rPr>
        <b/>
        <sz val="9"/>
        <color indexed="8"/>
        <rFont val="Arial"/>
        <family val="2"/>
      </rPr>
      <t>FONDO ESPECIAL CUOTA DE FOMENTO</t>
    </r>
    <r>
      <rPr>
        <sz val="9"/>
        <color indexed="8"/>
        <rFont val="Arial"/>
        <family val="2"/>
      </rPr>
      <t xml:space="preserve"> POR PARTE DEL MME NACIONAL</t>
    </r>
  </si>
  <si>
    <t>1304</t>
  </si>
  <si>
    <t>DESARROLLO DEL CAPITAL HUMANO DEL MINISTERIO A TRAVES DE UNA TRANSFORMACION CULTURAL MME</t>
  </si>
  <si>
    <t>1801</t>
  </si>
  <si>
    <t>223</t>
  </si>
  <si>
    <t>450</t>
  </si>
  <si>
    <t>IMPLEMENTAR Y MANTENER ACTUALIZADA LA INFRAESTRUCTURA TIC DEL SECTOR MINERO ENERGETICO DE ACUERDO AL PETIC SECTORIAL BOGOTA</t>
  </si>
  <si>
    <t>22</t>
  </si>
  <si>
    <t>AUDITORIA PARA EL SEGUIMIENTO A LA APLICACIÓN DE LA NORMATIVIDAD SOBRE SUBSIDIOS Y CONTRIBUCIONES EN LOS SERVICIOS PUBLICOS DE ENERGIA ELECTRICA Y GAS COMBUSTIBLE DOMICILIARIO POR RED A NIVEL NACIONAL</t>
  </si>
  <si>
    <t>CONTROL OPERATIVO A LA DISTRIBUCION DE COMBUSTIBLES LIQUIDOS DERIVADOS DEL PETROLEO AL CONTRABANDO Y A LA DESTINACION ILICITA DE ESTOS PRODUCTOS EN ZONAS DE FRONTERA</t>
  </si>
  <si>
    <t>540</t>
  </si>
  <si>
    <t>APOYO A LA GESTION DE LA PLANEACION DEL MINISTERIO DE MINAS Y ENERGIA</t>
  </si>
  <si>
    <t xml:space="preserve">DISTRIBUCION SUBSIDIOS POR MENEROS TARIFAS SECTOR GAS COMBUSTIBLE DOMICILIARIO POR RED A NIVEL NACIONAL </t>
  </si>
  <si>
    <t xml:space="preserve">IMPLEMENTACIÓN COMPENSACIÓN POR EL TRANSPORTE DE COMBUSTIBLES LÍQUIDOS DERIVADOS DEL PETRÓLEO ENTRE YUMBO Y LA CIUDAD DE PASTO </t>
  </si>
  <si>
    <t>999</t>
  </si>
  <si>
    <t>PAGO PASIVOS EXIGIBLES VIGENCIAS EXPIRADAS</t>
  </si>
  <si>
    <t xml:space="preserve">OTROS </t>
  </si>
  <si>
    <t>HORAS EXTRAS, DÍAS FESTIVOS E INDEMNIZACION VACAC</t>
  </si>
  <si>
    <t>RESERVAS PTALES</t>
  </si>
  <si>
    <t>C X P</t>
  </si>
  <si>
    <t>MEJORAMIENTO DE LA INFRAESTRUCTURA FÍSICA DEL MME BOGOTA MME AVENIDA EL DORADO CAN</t>
  </si>
  <si>
    <r>
      <t>APOYO A GESTION SOCIAL Y AMBIENTAL DE LOS PROYECTOS MINERO ENERGETICOS EN EL TERRITORIO NA</t>
    </r>
    <r>
      <rPr>
        <b/>
        <sz val="9"/>
        <rFont val="Arial"/>
        <family val="2"/>
      </rPr>
      <t>L PREVIO CONCEPTO DNP</t>
    </r>
  </si>
  <si>
    <t>1800</t>
  </si>
  <si>
    <t>CONSTRUCCION E IMPLEMENTACION DEL PROGRAMA DE FORMALIZACION MINERA</t>
  </si>
  <si>
    <t>410</t>
  </si>
  <si>
    <t>DIAGNOSTICO MINERO AMBIENTAL DE LOS PASIVOS EN EL TERRITORIO NACIONAL</t>
  </si>
  <si>
    <t>CONTROL A LA EXPLOTACION ILICITA DE MINERALES EN COLOMBIA</t>
  </si>
  <si>
    <t xml:space="preserve">DISTRIBUCION DE RECURSOS PARA PAGOS POR MENORES TARIFAS SECTOR ELECTRICO </t>
  </si>
  <si>
    <r>
      <t>DISTRIBUCION DE RECURSOS PARA PAGOS POR MENORES TARIFAS SECTOR GLP DISTRIBUIDO EN CILINDROS Y TANQUES ESTACIONARIOS A NIVEL NAL.</t>
    </r>
    <r>
      <rPr>
        <b/>
        <sz val="9"/>
        <color indexed="8"/>
        <rFont val="Arial"/>
        <family val="2"/>
      </rPr>
      <t xml:space="preserve"> PREVIO CONCEPTO DNP</t>
    </r>
    <r>
      <rPr>
        <sz val="9"/>
        <color indexed="8"/>
        <rFont val="Arial"/>
        <family val="2"/>
      </rPr>
      <t>.</t>
    </r>
  </si>
  <si>
    <r>
      <t xml:space="preserve">IMPLEMENTACIÓN COMPENSACIÓN POR EL TRANSPORTE DE COMBUSTIBLES LÍQUIDOS DERIVADOS DEL PETRÓLEO ENTRE YUMBO Y LA CIUDAD DE PASTO </t>
    </r>
    <r>
      <rPr>
        <b/>
        <sz val="9"/>
        <color indexed="8"/>
        <rFont val="Arial"/>
        <family val="2"/>
      </rPr>
      <t xml:space="preserve"> VIG EXPIRADAS</t>
    </r>
  </si>
  <si>
    <r>
      <t xml:space="preserve">ADMINISTRACIÓN MANEJO Y EJECUCIÓN DEL </t>
    </r>
    <r>
      <rPr>
        <b/>
        <sz val="9"/>
        <color indexed="8"/>
        <rFont val="Arial"/>
        <family val="2"/>
      </rPr>
      <t>FONDO ESPECIAL CUOTA DE FOMENTO</t>
    </r>
    <r>
      <rPr>
        <sz val="9"/>
        <color indexed="8"/>
        <rFont val="Arial"/>
        <family val="2"/>
      </rPr>
      <t xml:space="preserve"> POR PARTE DEL MME NACIONAL - PAGOS PASIVOS EXIGIBLES </t>
    </r>
    <r>
      <rPr>
        <b/>
        <sz val="9"/>
        <color indexed="8"/>
        <rFont val="Arial"/>
        <family val="2"/>
      </rPr>
      <t>VIGENCIAS EXPIRADAS</t>
    </r>
  </si>
  <si>
    <t>INFORME RESERVAS PRESUPUESTALES CONSTITUIDAS A DICIEMBRE 31 DE 2011</t>
  </si>
  <si>
    <t>RECURSOS NACIÓN XX</t>
  </si>
  <si>
    <t>IDENTIFICACIÓN PRESUPUESTAL</t>
  </si>
  <si>
    <t xml:space="preserve">BENEFICIARIO </t>
  </si>
  <si>
    <t>VALOR RESERVA PRESUPUESTAL</t>
  </si>
  <si>
    <t>CANCELACIONES</t>
  </si>
  <si>
    <t>RESERVA PRESUPUESTAL DEFINITIVA</t>
  </si>
  <si>
    <t xml:space="preserve">SALDO RESERVA POR EJECUTAR </t>
  </si>
  <si>
    <t>MEJORAMIENTO DE LA INFRAESTRUCTURA FISICA DEL MINISTERIO DE MINAS Y ENERGIA BOGOTA</t>
  </si>
  <si>
    <t>ACTUALIZACION DE LA INFRAESTRUCTURA INFORMATICA Y DE COMUNICACIONES DEL MME BOGOTA D.C.</t>
  </si>
  <si>
    <t>MEJORAMIENTO DE LA PRODUCTIVIDAD Y COMPETITIVIDAD MINERA NACIONAL</t>
  </si>
  <si>
    <t>CAPACITACION TEORICO PRACTICA PARA LA REDUCCION O ELIMINACION DEL USO DEL MERCURIO EN PROCESOS DE BENEFICIO DEL ORO EN EL TERRITORIO NACIONAL.</t>
  </si>
  <si>
    <t>ASISTENCIA Y APOYO A LA IMPLEMENTACION TECNICA DE AREAS DE RESERVA ESPECIAL EN EL TERRITORIO NACIONAL</t>
  </si>
  <si>
    <t>ASISTENCIA TECNICA Y SOCIAL EN LA DECLARATORIA DE ZONAS MINERAS PARA LAS COMUNIDADES NEGRAS E INDIGENAS DEL TERRITORIO NAL</t>
  </si>
  <si>
    <t>510</t>
  </si>
  <si>
    <t>ASESORIA PARA LA CONCEPTUALIZACION Y FORMULACION DE LA REGLAMENTACION TECNICA DEL SECTOR GAS BOGOTA</t>
  </si>
  <si>
    <t>DISEÑO E IMPLEMENTACION DE HERRAMIENTAS  DE LA PARTICIPACION CIUDADANA EN EL MME A NIVEL NACIONAL.</t>
  </si>
  <si>
    <t>ASESORIA TECNICA PARA EL SEGUIMIENTO A LOS CONTRATOS Y CONVENIOS DEL SUBSECTOR GAS COMBUSTIBLE NACIONAL.</t>
  </si>
  <si>
    <r>
      <t>APOYO FINANCIERO PARA LA ENERGIZACION DE ZONAS RURALES INTERCONECTADAS -</t>
    </r>
    <r>
      <rPr>
        <b/>
        <sz val="8"/>
        <rFont val="Arial"/>
        <family val="2"/>
      </rPr>
      <t xml:space="preserve"> FAER</t>
    </r>
    <r>
      <rPr>
        <sz val="8"/>
        <rFont val="Arial"/>
        <family val="2"/>
      </rPr>
      <t xml:space="preserve"> (ART 105 DE LA LEY 788 DE 2002) REGION NACIONAL.</t>
    </r>
  </si>
  <si>
    <r>
      <t>APOYO FINANCIERO PARA EL PROGRAMA DE NORMALIZACION DE REDES ELECTRICAS -</t>
    </r>
    <r>
      <rPr>
        <b/>
        <sz val="8"/>
        <rFont val="Arial"/>
        <family val="2"/>
      </rPr>
      <t xml:space="preserve"> PRONE</t>
    </r>
    <r>
      <rPr>
        <sz val="8"/>
        <rFont val="Arial"/>
        <family val="2"/>
      </rPr>
      <t xml:space="preserve"> NACIONAL</t>
    </r>
  </si>
  <si>
    <r>
      <t xml:space="preserve">ADMINISTRACION, MANEJO Y EJECUCION DEL FONDO ESPECIAL </t>
    </r>
    <r>
      <rPr>
        <b/>
        <sz val="8"/>
        <rFont val="Arial"/>
        <family val="2"/>
      </rPr>
      <t>CUOTA DE FOMENTO</t>
    </r>
    <r>
      <rPr>
        <sz val="8"/>
        <rFont val="Arial"/>
        <family val="2"/>
      </rPr>
      <t xml:space="preserve"> POR PARTE DEL MME</t>
    </r>
  </si>
  <si>
    <t>TOTAL INVERSION</t>
  </si>
  <si>
    <t>EJECUCION RESERVA PRIMER TRIMESTRE 2013</t>
  </si>
  <si>
    <t>OPTIMIZACION Y ORGANIZACIÓN ARCHIVISTICA DE DOCUMENTOS DEL ARCHIVO CENTRAL DEL MME BOGOTA</t>
  </si>
  <si>
    <t>IMPLEMENTAR Y MANTENER ACTUALIZADA LA INFRAESTRUCTURA TIC DEL SECTOR MINERO ENERGETICO DE ACUERDO AL PETIC SECTORIAL-BOGOTA</t>
  </si>
  <si>
    <t>AUDITORIA PARA EL SEGUIMIENTO A LA APLICACIÓN DE LA NORMATIVIDAD SOBRE SUBSIDIOS Y CONTRIBUCIONES EN LOS SERVICIOS PUBLICOS DE ENERGIA ELECTRICA Y GAS COMBUSTIBLE POR RED A NIVEL NAL</t>
  </si>
  <si>
    <t>APOYO A LA GESTION DE LA PLANEACION DEL MME</t>
  </si>
  <si>
    <r>
      <t>APOYO FINANCIERO A ZONAS NO INTERCONECTADAS -</t>
    </r>
    <r>
      <rPr>
        <b/>
        <sz val="8"/>
        <rFont val="Arial"/>
        <family val="2"/>
      </rPr>
      <t xml:space="preserve"> FAZNI</t>
    </r>
  </si>
  <si>
    <t>INFORME A ABRIL DE 2013</t>
  </si>
  <si>
    <t>EJECUCION A ABRIL 30 DE 2013</t>
  </si>
  <si>
    <t>TOTAL RESERVAS EJECUTADAS</t>
  </si>
  <si>
    <t>EJECUCION MES ABRIL DE 2013</t>
  </si>
  <si>
    <t>UNIDAD GESTION GENERAL</t>
  </si>
  <si>
    <t>CONCEPTO</t>
  </si>
  <si>
    <t>PRESUPUESTO</t>
  </si>
  <si>
    <t>EJECUTADO</t>
  </si>
  <si>
    <t>SALDO POR EJECUTAR</t>
  </si>
  <si>
    <t>% EJECUCION</t>
  </si>
  <si>
    <t>TRANSFERENCIAS</t>
  </si>
  <si>
    <t>TOTAL FUNCIONAMIENTO</t>
  </si>
  <si>
    <t>INVERSION</t>
  </si>
  <si>
    <t xml:space="preserve">TOTAL </t>
  </si>
  <si>
    <t>INFORME DE EJECUCION PRESUPUESTAL A MARZO 31 DE 2013</t>
  </si>
  <si>
    <t>INFORME DE EJECUCION PRESUPUESTAL ACUMULADO A JUNIO 30 DE 2013</t>
  </si>
  <si>
    <t>INFORME DE EJECUCION PRESUPUESTAL ACUMULADO A SEPTIEMBRE  30 DE 2013</t>
  </si>
  <si>
    <t>VALOR COMPROMETIDO</t>
  </si>
  <si>
    <t>ADQUISICION DE BIENES Y SERVICIOS  E IMPUESTOS Y MULTAS</t>
  </si>
  <si>
    <t>GASTOS</t>
  </si>
  <si>
    <t>Gastos de Personal</t>
  </si>
  <si>
    <t>Gastos Generales</t>
  </si>
  <si>
    <t>Transferencias</t>
  </si>
  <si>
    <t>Funcionamiento</t>
  </si>
  <si>
    <t>Inversión</t>
  </si>
  <si>
    <t>TOTAL GASTOS</t>
  </si>
  <si>
    <t>OBLIGADO</t>
  </si>
  <si>
    <t>% EJECUCION EN</t>
  </si>
  <si>
    <t>APROP BLOQUEADA</t>
  </si>
  <si>
    <t>INICIAL</t>
  </si>
  <si>
    <t>INFORME DE EJECUCION PRESUPUESTAL VIGENCIA 2016 - ACUMULADO A JUNIO  30  DE 2016</t>
  </si>
  <si>
    <t>TIPO</t>
  </si>
  <si>
    <t>A</t>
  </si>
  <si>
    <t>ESTADO DEL NIVEL DE EJECUCIÓN EN OBLIGACIONES</t>
  </si>
  <si>
    <t>001</t>
  </si>
  <si>
    <t>CSF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</si>
  <si>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</si>
  <si>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</si>
  <si>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</si>
  <si>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</si>
  <si>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</si>
  <si>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</si>
  <si>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</si>
  <si>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</si>
  <si>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</si>
  <si>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02</t>
  </si>
  <si>
    <t>HORAS EXTRAS, DOMINICALES, FESTIVOS Y RECARGOS</t>
  </si>
  <si>
    <t>EQUIPO Y APARATOS DE RADIO, TELEVISIÓN Y COMUNICACIONES</t>
  </si>
  <si>
    <t>EQUIPO DE TRANSPORTE</t>
  </si>
  <si>
    <t>PRODUCTOS DE LA PROPIEDAD INTELECTUAL</t>
  </si>
  <si>
    <t>BEBIDAS</t>
  </si>
  <si>
    <t>DOTACIÓN (PRENDAS DE VESTIR Y CALZADO)</t>
  </si>
  <si>
    <t>PRODUCTOS DE HORNOS DE COQUE; PRODUCTOS DE REFINACIÓN DE PETRÓLEO Y COMBUSTIBLE NUCLEAR</t>
  </si>
  <si>
    <t>SERVICIOS DE CONSTRUCCIÓN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</si>
  <si>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</si>
  <si>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</si>
  <si>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</si>
  <si>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</si>
  <si>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DE ARRENDAMIENTO O ALQUILER SIN OPERARIO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</si>
  <si>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</si>
  <si>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</si>
  <si>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</si>
  <si>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</si>
  <si>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</si>
  <si>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</si>
  <si>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</si>
  <si>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VIÁTICOS DE LOS FUNCIONARIOS EN COMISIÓN</t>
  </si>
  <si>
    <t>SSF</t>
  </si>
  <si>
    <t>2101</t>
  </si>
  <si>
    <t>1900</t>
  </si>
  <si>
    <t>2102</t>
  </si>
  <si>
    <t>2103</t>
  </si>
  <si>
    <t>2104</t>
  </si>
  <si>
    <t>2105</t>
  </si>
  <si>
    <t>2106</t>
  </si>
  <si>
    <t>2199</t>
  </si>
  <si>
    <t>18</t>
  </si>
  <si>
    <t>23</t>
  </si>
  <si>
    <t>24</t>
  </si>
  <si>
    <t>APOYO A LA FINANCIACIÓN DE PROYECTOS DIRIGIDOS AL DESARROLLO DE INFRAESTRUCTURA, Y CONEXIONES PARA EL USO DEL GAS NATURAL A NIVEL  NACIONAL</t>
  </si>
  <si>
    <t>DISTRIBUCIÓN DE RECURSOS AL CONSUMO EN CILINDROS Y PROYECTOS DE INFRAESTRUCTURA DE GLP  NACIONAL</t>
  </si>
  <si>
    <t>DISTRIBUCIÓN DE RECURSOS PARA PAGOS POR MENORES TARIFAS SECTOR ELÉCTRICO  NACIONAL</t>
  </si>
  <si>
    <t>INCREMENTO DE LA EFICIENCIA EN EL CONSUMO, USO Y GENERACIÓN DE LA ENERGÍA A NIVEL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</si>
  <si>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</si>
  <si>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</si>
  <si>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</si>
  <si>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</si>
  <si>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FORTALECIMIENTO DEL CONTROL A LA COMERCIALIZACIÓN DE COMBUSTIBLES EN LOS DEPARTAMENTOS CONSIDERADOS COMO ZONAS DE FRONTERA.  NACIONAL</t>
  </si>
  <si>
    <t>DISTRIBUCION DE RECURSOS PARA EL TRANSPORTE DE COMBUSTIBLES LIQUIDOS DERIVADOS DEL PETROLEO PARA ABASTECER AL DEPARTAMENTO DE NARIÑO</t>
  </si>
  <si>
    <t>GENERACIÓN DE CONDICIONES FAVORABLES PARA  REGULARIZAR  LA ACTIVIDAD MINERA DE PEQUEÑA ESCALA  NACIONAL</t>
  </si>
  <si>
    <t xml:space="preserve">MEJORAMIENTO  DE LAS CONDICIONES DE TRABAJO DE LOS MINEROS DE SUBSISTENCIA EN EL TERRITORIO NACIONAL  NACIONAL </t>
  </si>
  <si>
    <t>FORTALECIMIENTO DEL SECTOR MINERO DE PEQUEÑA ESCALA.  NACIONAL-[PREVIO CONCEPTO DNP]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</si>
  <si>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</si>
  <si>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</si>
  <si>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</si>
  <si>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</si>
  <si>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AUTORIDAD REGULADORA PARA EL USO SEGURO DE LOS MATERIALES NUCLEARES Y RADIACTIVOS EN EL TERRITORIO   NACIONAL</t>
  </si>
  <si>
    <t>FORTALECIMIENTO DE LA TRANSPARENCIA EN LA CADENA DE VALOR DEL SECTOR EXTRACTIVO EN COLOMBIA (INICIATIVA EITI)  NACIONAL</t>
  </si>
  <si>
    <t>MEJORAMIENTO DE LA GESTIÓN DE LA INFORMACIÓN DE LA DISTRIBUCIÓN DE LOS COMBUSTIBLES LÍQUIDOS, GAS NATURAL Y GLP PARA USO VEHICULAR.  NACIONAL</t>
  </si>
  <si>
    <t>FORTALECIMIENTO DE LA SINERGIA INSTITUCIONAL DEL SECTOR MINERO ENERGÉTICO EN LOS ESCENARIOS ESTRATÉGICOS INTERNACIONALES DESDE EL NIVEL  NACIONAL</t>
  </si>
  <si>
    <t>FORTALECIMIENTO DE LA DIVULGACIÓN DEL IMPACTO POSITIVO DE LAS POLÍTICAS Y LA GESTIÓN DE DESARROLLO DEL PAÍS DEL SECTOR MINERO ENERGÉTICO ANTE LA POBLACIÓN Y LOS PÚBLICOS DE INTERÉS  NACIONAL</t>
  </si>
  <si>
    <t>DESARROLLO DE LA GESTIÓN DE LA INFORMACIÓN EN ASUNTOS DEL SUBSECTOR HIDROCARBUROS.  NACIONAL</t>
  </si>
  <si>
    <t>FORTALECIMIENTO DE LA PARTICIPACIÓN, TRANSPARENCIA Y COLABORACIÓN DE LOS CIUDADANOS Y PARTES INTERESADAS EN LA GESTIÓN DEL SECTOR MINERO ENERGÉTICO 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</si>
  <si>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</si>
  <si>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ESTUDIOS SOBRE POLÍTICA Y REGULACIÓN ENERGETÍCA  NACIONAL</t>
  </si>
  <si>
    <t>MEJORAMIENTO DEL MODELO INTEGRADO DE PLANEACIÓN Y GESTIÓN EN EL MINISTERIO DE MINAS Y ENERGÍA  BOGOTÁ</t>
  </si>
  <si>
    <t>FORTALECIMIENTO DE LOS INSTRUMENTOS DE GESTIÓN DOCUMENTAL  NACIONAL</t>
  </si>
  <si>
    <t>FORTALECIMIENTO DEL SECTOR MINERO ENERGÉTICO A NIVEL  NACIONAL</t>
  </si>
  <si>
    <t>FORTALECIMIENTO DE LA CULTURA ORGANIZACIONAL DEL MINISTERIO DE MINAS Y ENERGÍA EN  BOGOTÁ</t>
  </si>
  <si>
    <t>IMPLEMENTACIÓN DEL LITIGIO DE ALTO IMPACTO EN EL MINISTERIO DE MINAS Y ENERGÍA...  NACIONAL</t>
  </si>
  <si>
    <t>FORTALECIMIENTO DE LA TRANSFORMACIÓN DIGITAL EN EL MINISTERIO DE MINAS Y ENERGÍA  NACIONAL-[PREVIO CONCEPTO DNP]</t>
  </si>
  <si>
    <t>IMPLEMENTACIÓN IMPLEMENTACIÓN MODELO DE GESTIÓN DE DOCUMENTOS ELECTRÓNICOS DE ARCHIVO - MGDEA  BOGOTÁ</t>
  </si>
  <si>
    <t>25</t>
  </si>
  <si>
    <t>RESERVA PRESUPUESTAL CONSTITUIDA</t>
  </si>
  <si>
    <t>RESERVA PRESUPUESTAL ACTUAL</t>
  </si>
  <si>
    <t>SALDO RESERVA POR EJECUTAR (Reserva Actual- Obligaciones)</t>
  </si>
  <si>
    <t>% EJECUCIÓN OBLIGACIONES</t>
  </si>
  <si>
    <t>% EJECUCIÓN PAGOS</t>
  </si>
  <si>
    <t>ESTADO DEL NIVEL DE EJECUCIÓN EN PAGOS</t>
  </si>
  <si>
    <t>Gatos de Personal</t>
  </si>
  <si>
    <t>Adquisición de bienes y servicios</t>
  </si>
  <si>
    <t>INFORME RESERVAS PRESUPUESTALES CONSTITUIDAS A DICIEMBRE 31 DE 2019</t>
  </si>
  <si>
    <t>CODIFICACION PRESUPUESTAL</t>
  </si>
  <si>
    <t>SUB
CTA</t>
  </si>
  <si>
    <t>OBJ</t>
  </si>
  <si>
    <t>SUB ORD</t>
  </si>
  <si>
    <t>DESCRIPCION</t>
  </si>
  <si>
    <t>VALOR RESERVA PRESUPUESTAL CONSTITUIDA</t>
  </si>
  <si>
    <t>OBLIGACIONES ENERO</t>
  </si>
  <si>
    <t>OBLIGACIONES FEBRERO</t>
  </si>
  <si>
    <t>OBLIGACIONES MARZO</t>
  </si>
  <si>
    <t>OBLIGACIONES ABRIL</t>
  </si>
  <si>
    <t>OBLIGACIONES MAYO</t>
  </si>
  <si>
    <t>OBLIGACIONES JUNIO</t>
  </si>
  <si>
    <t>OBLIGACIONES JULIO</t>
  </si>
  <si>
    <t>OBLIGACIONES AGOSTO</t>
  </si>
  <si>
    <t>OBLIGACIONES SEPTIEMBRE</t>
  </si>
  <si>
    <t>OBLIGACIONES OCTUBRE</t>
  </si>
  <si>
    <t>OBLIGACIONES NOVIEMBRE</t>
  </si>
  <si>
    <t>OBLIGACIONES DICIEMBRE</t>
  </si>
  <si>
    <t>OBLIGACIONES ACUMULADAS</t>
  </si>
  <si>
    <t>PAGOS ENERO</t>
  </si>
  <si>
    <t>PAGOS FEBRERO</t>
  </si>
  <si>
    <t>PAGOS MARZO</t>
  </si>
  <si>
    <t>PAGOS ABRIL</t>
  </si>
  <si>
    <t>PAGOS MAYO</t>
  </si>
  <si>
    <t>PAGOS JUNIO</t>
  </si>
  <si>
    <t>PAGOS JULIO</t>
  </si>
  <si>
    <t>PAGOS AGOSTO</t>
  </si>
  <si>
    <t>PAGOS SEPTIEMBRE</t>
  </si>
  <si>
    <t>PAGOS OCTUBRE</t>
  </si>
  <si>
    <t>PAGOS NOVIEMBRE</t>
  </si>
  <si>
    <t>PAGOS DICIEMBRE</t>
  </si>
  <si>
    <t>PAGOS ACUMULADOS</t>
  </si>
  <si>
    <t>ADQUISICION DE BIENES Y SERVICIOS</t>
  </si>
  <si>
    <t>TOTAL</t>
  </si>
  <si>
    <t>FORTALECIMIENTO DE LAS CAPACIDADES TECNOLÓGICAS DEL MINISTERIO DE MINAS Y ENERGÍA PARA FACILITAR EL USO, ACCESO Y APROVECHAMIENTO DE LA INFORMACIÓN MINERO ENERGÉTICA A NIVEL NACIONAL</t>
  </si>
  <si>
    <t>Ejecucion a  Septiembre 30  de 2021</t>
  </si>
  <si>
    <t xml:space="preserve"> EJECUCIÓN RESERVA PRESUPUESTAL  ACUMULADA A SEPTIEMBRE 30 DE 2021</t>
  </si>
  <si>
    <t>Alto</t>
  </si>
  <si>
    <t>Bajo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</si>
</sst>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C$&quot;#,##0.00_);\(&quot;C$&quot;#,##0.00\)"/>
    <numFmt numFmtId="201" formatCode="_(&quot;C$&quot;* #,##0_);_(&quot;C$&quot;* \(#,##0\);_(&quot;C$&quot;* &quot;-&quot;_);_(@_)"/>
    <numFmt numFmtId="202" formatCode="_(&quot;C$&quot;* #,##0.00_);_(&quot;C$&quot;* \(#,##0.00\);_(&quot;C$&quot;* &quot;-&quot;??_);_(@_)"/>
    <numFmt numFmtId="203" formatCode="\$#.00"/>
    <numFmt numFmtId="204" formatCode="#,##0.0_);\(#,##0.0\)"/>
    <numFmt numFmtId="205" formatCode="#,##0.0"/>
    <numFmt numFmtId="206" formatCode="#,##0.00;[Red]#,##0.00"/>
    <numFmt numFmtId="207" formatCode="0.0%"/>
    <numFmt numFmtId="208" formatCode="#,##0.0000000_);\(#,##0.0000000\)"/>
    <numFmt numFmtId="209" formatCode="[$-1240A]&quot;$&quot;\ #,##0.00;\(&quot;$&quot;\ #,##0.00\)"/>
    <numFmt numFmtId="210" formatCode="#,##0.00_ ;\-#,##0.00\ "/>
    <numFmt numFmtId="211" formatCode="&quot;$&quot;#,##0.00"/>
    <numFmt numFmtId="212" formatCode="&quot;$&quot;\ #,##0.00"/>
    <numFmt numFmtId="213" formatCode="[$-1240A]&quot;$&quot;\ #,##0.00;\-&quot;$&quot;\ #,##0.00"/>
  </numFmts>
  <fonts count="10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16"/>
      <name val="Arial"/>
      <family val="2"/>
    </font>
    <font>
      <b/>
      <sz val="12"/>
      <name val="Courier"/>
      <family val="3"/>
    </font>
    <font>
      <b/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4"/>
      <name val="Courier"/>
      <family val="3"/>
    </font>
    <font>
      <b/>
      <sz val="14"/>
      <name val="Courier"/>
      <family val="3"/>
    </font>
    <font>
      <sz val="12"/>
      <color indexed="8"/>
      <name val="Courier"/>
      <family val="3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ourier"/>
      <family val="3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ourier"/>
      <family val="3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7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3" fillId="29" borderId="1" applyNumberFormat="0" applyAlignment="0" applyProtection="0"/>
    <xf numFmtId="203" fontId="4" fillId="0" borderId="0">
      <alignment/>
      <protection locked="0"/>
    </xf>
    <xf numFmtId="203" fontId="4" fillId="0" borderId="0">
      <alignment/>
      <protection locked="0"/>
    </xf>
    <xf numFmtId="203" fontId="5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5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30" borderId="0" applyNumberFormat="0" applyBorder="0" applyAlignment="0" applyProtection="0"/>
    <xf numFmtId="185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8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6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8" fillId="0" borderId="0" applyFont="0" applyFill="0" applyBorder="0" applyAlignment="0" applyProtection="0"/>
    <xf numFmtId="0" fontId="87" fillId="21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7" applyNumberFormat="0" applyFill="0" applyAlignment="0" applyProtection="0"/>
    <xf numFmtId="0" fontId="82" fillId="0" borderId="8" applyNumberFormat="0" applyFill="0" applyAlignment="0" applyProtection="0"/>
    <xf numFmtId="0" fontId="92" fillId="0" borderId="9" applyNumberFormat="0" applyFill="0" applyAlignment="0" applyProtection="0"/>
  </cellStyleXfs>
  <cellXfs count="591">
    <xf numFmtId="200" fontId="0" fillId="0" borderId="0" xfId="0" applyAlignment="1">
      <alignment/>
    </xf>
    <xf numFmtId="200" fontId="8" fillId="0" borderId="10" xfId="0" applyFont="1" applyBorder="1" applyAlignment="1">
      <alignment/>
    </xf>
    <xf numFmtId="200" fontId="9" fillId="0" borderId="11" xfId="0" applyFont="1" applyBorder="1" applyAlignment="1">
      <alignment/>
    </xf>
    <xf numFmtId="200" fontId="8" fillId="0" borderId="11" xfId="0" applyFont="1" applyBorder="1" applyAlignment="1">
      <alignment/>
    </xf>
    <xf numFmtId="200" fontId="10" fillId="0" borderId="11" xfId="0" applyFont="1" applyFill="1" applyBorder="1" applyAlignment="1">
      <alignment/>
    </xf>
    <xf numFmtId="200" fontId="8" fillId="0" borderId="11" xfId="0" applyFont="1" applyBorder="1" applyAlignment="1" applyProtection="1">
      <alignment horizontal="center"/>
      <protection/>
    </xf>
    <xf numFmtId="200" fontId="10" fillId="0" borderId="12" xfId="0" applyFont="1" applyFill="1" applyBorder="1" applyAlignment="1">
      <alignment/>
    </xf>
    <xf numFmtId="200" fontId="0" fillId="0" borderId="0" xfId="0" applyBorder="1" applyAlignment="1">
      <alignment/>
    </xf>
    <xf numFmtId="200" fontId="12" fillId="33" borderId="13" xfId="0" applyFont="1" applyFill="1" applyBorder="1" applyAlignment="1">
      <alignment horizontal="center"/>
    </xf>
    <xf numFmtId="200" fontId="12" fillId="33" borderId="0" xfId="0" applyFont="1" applyFill="1" applyBorder="1" applyAlignment="1">
      <alignment horizontal="center"/>
    </xf>
    <xf numFmtId="200" fontId="12" fillId="33" borderId="14" xfId="0" applyFont="1" applyFill="1" applyBorder="1" applyAlignment="1">
      <alignment horizontal="center"/>
    </xf>
    <xf numFmtId="200" fontId="14" fillId="33" borderId="0" xfId="0" applyFont="1" applyFill="1" applyBorder="1" applyAlignment="1">
      <alignment/>
    </xf>
    <xf numFmtId="200" fontId="14" fillId="33" borderId="13" xfId="0" applyFont="1" applyFill="1" applyBorder="1" applyAlignment="1">
      <alignment/>
    </xf>
    <xf numFmtId="200" fontId="14" fillId="33" borderId="0" xfId="0" applyFont="1" applyFill="1" applyBorder="1" applyAlignment="1">
      <alignment horizontal="left"/>
    </xf>
    <xf numFmtId="200" fontId="15" fillId="33" borderId="0" xfId="0" applyFont="1" applyFill="1" applyBorder="1" applyAlignment="1">
      <alignment/>
    </xf>
    <xf numFmtId="200" fontId="16" fillId="33" borderId="0" xfId="0" applyFont="1" applyFill="1" applyBorder="1" applyAlignment="1">
      <alignment/>
    </xf>
    <xf numFmtId="200" fontId="17" fillId="33" borderId="0" xfId="0" applyFont="1" applyFill="1" applyBorder="1" applyAlignment="1" applyProtection="1">
      <alignment horizontal="center"/>
      <protection/>
    </xf>
    <xf numFmtId="200" fontId="17" fillId="33" borderId="0" xfId="0" applyFont="1" applyFill="1" applyBorder="1" applyAlignment="1">
      <alignment/>
    </xf>
    <xf numFmtId="200" fontId="13" fillId="33" borderId="0" xfId="0" applyFont="1" applyFill="1" applyBorder="1" applyAlignment="1">
      <alignment/>
    </xf>
    <xf numFmtId="37" fontId="18" fillId="0" borderId="0" xfId="0" applyNumberFormat="1" applyFont="1" applyFill="1" applyBorder="1" applyAlignment="1" applyProtection="1">
      <alignment horizontal="center"/>
      <protection/>
    </xf>
    <xf numFmtId="200" fontId="16" fillId="33" borderId="14" xfId="0" applyFont="1" applyFill="1" applyBorder="1" applyAlignment="1">
      <alignment/>
    </xf>
    <xf numFmtId="200" fontId="14" fillId="33" borderId="15" xfId="0" applyFont="1" applyFill="1" applyBorder="1" applyAlignment="1">
      <alignment/>
    </xf>
    <xf numFmtId="200" fontId="14" fillId="33" borderId="16" xfId="0" applyFont="1" applyFill="1" applyBorder="1" applyAlignment="1">
      <alignment horizontal="left"/>
    </xf>
    <xf numFmtId="200" fontId="14" fillId="33" borderId="16" xfId="0" applyFont="1" applyFill="1" applyBorder="1" applyAlignment="1">
      <alignment/>
    </xf>
    <xf numFmtId="200" fontId="15" fillId="33" borderId="16" xfId="0" applyFont="1" applyFill="1" applyBorder="1" applyAlignment="1">
      <alignment/>
    </xf>
    <xf numFmtId="200" fontId="16" fillId="33" borderId="16" xfId="0" applyFont="1" applyFill="1" applyBorder="1" applyAlignment="1">
      <alignment/>
    </xf>
    <xf numFmtId="200" fontId="13" fillId="33" borderId="16" xfId="0" applyFont="1" applyFill="1" applyBorder="1" applyAlignment="1">
      <alignment/>
    </xf>
    <xf numFmtId="200" fontId="16" fillId="33" borderId="17" xfId="0" applyFont="1" applyFill="1" applyBorder="1" applyAlignment="1">
      <alignment/>
    </xf>
    <xf numFmtId="200" fontId="13" fillId="0" borderId="18" xfId="0" applyFont="1" applyBorder="1" applyAlignment="1">
      <alignment horizontal="centerContinuous"/>
    </xf>
    <xf numFmtId="200" fontId="18" fillId="0" borderId="19" xfId="0" applyFont="1" applyFill="1" applyBorder="1" applyAlignment="1" applyProtection="1">
      <alignment horizontal="centerContinuous"/>
      <protection/>
    </xf>
    <xf numFmtId="200" fontId="18" fillId="0" borderId="19" xfId="0" applyFont="1" applyFill="1" applyBorder="1" applyAlignment="1">
      <alignment horizontal="centerContinuous"/>
    </xf>
    <xf numFmtId="200" fontId="16" fillId="0" borderId="19" xfId="0" applyFont="1" applyFill="1" applyBorder="1" applyAlignment="1">
      <alignment/>
    </xf>
    <xf numFmtId="37" fontId="18" fillId="0" borderId="19" xfId="0" applyNumberFormat="1" applyFont="1" applyFill="1" applyBorder="1" applyAlignment="1" applyProtection="1">
      <alignment horizontal="center"/>
      <protection/>
    </xf>
    <xf numFmtId="37" fontId="18" fillId="34" borderId="19" xfId="0" applyNumberFormat="1" applyFont="1" applyFill="1" applyBorder="1" applyAlignment="1" applyProtection="1">
      <alignment horizontal="center"/>
      <protection locked="0"/>
    </xf>
    <xf numFmtId="37" fontId="18" fillId="33" borderId="19" xfId="0" applyNumberFormat="1" applyFont="1" applyFill="1" applyBorder="1" applyAlignment="1" applyProtection="1">
      <alignment horizontal="center"/>
      <protection/>
    </xf>
    <xf numFmtId="37" fontId="18" fillId="35" borderId="19" xfId="0" applyNumberFormat="1" applyFont="1" applyFill="1" applyBorder="1" applyAlignment="1" applyProtection="1">
      <alignment horizontal="center"/>
      <protection locked="0"/>
    </xf>
    <xf numFmtId="37" fontId="18" fillId="36" borderId="19" xfId="0" applyNumberFormat="1" applyFont="1" applyFill="1" applyBorder="1" applyAlignment="1" applyProtection="1">
      <alignment horizontal="center"/>
      <protection locked="0"/>
    </xf>
    <xf numFmtId="200" fontId="18" fillId="0" borderId="20" xfId="0" applyFont="1" applyFill="1" applyBorder="1" applyAlignment="1" applyProtection="1">
      <alignment horizontal="center"/>
      <protection/>
    </xf>
    <xf numFmtId="200" fontId="1" fillId="0" borderId="21" xfId="0" applyFont="1" applyBorder="1" applyAlignment="1">
      <alignment/>
    </xf>
    <xf numFmtId="200" fontId="19" fillId="0" borderId="22" xfId="0" applyFont="1" applyFill="1" applyBorder="1" applyAlignment="1" applyProtection="1">
      <alignment horizontal="center"/>
      <protection/>
    </xf>
    <xf numFmtId="200" fontId="18" fillId="0" borderId="22" xfId="0" applyFont="1" applyFill="1" applyBorder="1" applyAlignment="1" applyProtection="1">
      <alignment horizontal="center"/>
      <protection/>
    </xf>
    <xf numFmtId="37" fontId="18" fillId="0" borderId="22" xfId="0" applyNumberFormat="1" applyFont="1" applyFill="1" applyBorder="1" applyAlignment="1" applyProtection="1" quotePrefix="1">
      <alignment horizontal="center"/>
      <protection/>
    </xf>
    <xf numFmtId="37" fontId="18" fillId="34" borderId="22" xfId="0" applyNumberFormat="1" applyFont="1" applyFill="1" applyBorder="1" applyAlignment="1" applyProtection="1">
      <alignment horizontal="center"/>
      <protection locked="0"/>
    </xf>
    <xf numFmtId="37" fontId="18" fillId="33" borderId="22" xfId="0" applyNumberFormat="1" applyFont="1" applyFill="1" applyBorder="1" applyAlignment="1" applyProtection="1">
      <alignment horizontal="center"/>
      <protection/>
    </xf>
    <xf numFmtId="37" fontId="18" fillId="35" borderId="22" xfId="0" applyNumberFormat="1" applyFont="1" applyFill="1" applyBorder="1" applyAlignment="1" applyProtection="1">
      <alignment horizontal="center"/>
      <protection locked="0"/>
    </xf>
    <xf numFmtId="37" fontId="18" fillId="0" borderId="22" xfId="0" applyNumberFormat="1" applyFont="1" applyFill="1" applyBorder="1" applyAlignment="1" applyProtection="1">
      <alignment horizontal="center"/>
      <protection/>
    </xf>
    <xf numFmtId="37" fontId="18" fillId="36" borderId="22" xfId="0" applyNumberFormat="1" applyFont="1" applyFill="1" applyBorder="1" applyAlignment="1" applyProtection="1">
      <alignment horizontal="center"/>
      <protection locked="0"/>
    </xf>
    <xf numFmtId="200" fontId="18" fillId="0" borderId="23" xfId="0" applyFont="1" applyFill="1" applyBorder="1" applyAlignment="1" applyProtection="1">
      <alignment horizontal="center"/>
      <protection/>
    </xf>
    <xf numFmtId="37" fontId="18" fillId="34" borderId="22" xfId="0" applyNumberFormat="1" applyFont="1" applyFill="1" applyBorder="1" applyAlignment="1" applyProtection="1" quotePrefix="1">
      <alignment horizontal="center"/>
      <protection locked="0"/>
    </xf>
    <xf numFmtId="37" fontId="18" fillId="33" borderId="22" xfId="0" applyNumberFormat="1" applyFont="1" applyFill="1" applyBorder="1" applyAlignment="1" applyProtection="1" quotePrefix="1">
      <alignment horizontal="center"/>
      <protection/>
    </xf>
    <xf numFmtId="37" fontId="18" fillId="35" borderId="22" xfId="0" applyNumberFormat="1" applyFont="1" applyFill="1" applyBorder="1" applyAlignment="1" applyProtection="1" quotePrefix="1">
      <alignment horizontal="center"/>
      <protection locked="0"/>
    </xf>
    <xf numFmtId="37" fontId="18" fillId="36" borderId="22" xfId="0" applyNumberFormat="1" applyFont="1" applyFill="1" applyBorder="1" applyAlignment="1" applyProtection="1" quotePrefix="1">
      <alignment horizontal="center"/>
      <protection locked="0"/>
    </xf>
    <xf numFmtId="37" fontId="18" fillId="0" borderId="23" xfId="0" applyNumberFormat="1" applyFont="1" applyFill="1" applyBorder="1" applyAlignment="1" applyProtection="1" quotePrefix="1">
      <alignment horizontal="center"/>
      <protection/>
    </xf>
    <xf numFmtId="200" fontId="17" fillId="0" borderId="21" xfId="0" applyFont="1" applyBorder="1" applyAlignment="1">
      <alignment/>
    </xf>
    <xf numFmtId="200" fontId="16" fillId="0" borderId="22" xfId="0" applyFont="1" applyFill="1" applyBorder="1" applyAlignment="1">
      <alignment/>
    </xf>
    <xf numFmtId="200" fontId="16" fillId="0" borderId="22" xfId="0" applyFont="1" applyFill="1" applyBorder="1" applyAlignment="1" applyProtection="1">
      <alignment horizontal="left"/>
      <protection/>
    </xf>
    <xf numFmtId="200" fontId="20" fillId="0" borderId="22" xfId="0" applyFont="1" applyFill="1" applyBorder="1" applyAlignment="1" applyProtection="1">
      <alignment vertical="center" wrapText="1"/>
      <protection/>
    </xf>
    <xf numFmtId="37" fontId="16" fillId="33" borderId="22" xfId="0" applyNumberFormat="1" applyFont="1" applyFill="1" applyBorder="1" applyAlignment="1" applyProtection="1">
      <alignment/>
      <protection locked="0"/>
    </xf>
    <xf numFmtId="37" fontId="16" fillId="33" borderId="22" xfId="0" applyNumberFormat="1" applyFont="1" applyFill="1" applyBorder="1" applyAlignment="1" applyProtection="1">
      <alignment/>
      <protection/>
    </xf>
    <xf numFmtId="200" fontId="16" fillId="0" borderId="23" xfId="0" applyFont="1" applyFill="1" applyBorder="1" applyAlignment="1">
      <alignment/>
    </xf>
    <xf numFmtId="200" fontId="13" fillId="0" borderId="21" xfId="0" applyFont="1" applyBorder="1" applyAlignment="1">
      <alignment horizontal="center"/>
    </xf>
    <xf numFmtId="49" fontId="18" fillId="0" borderId="22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Fill="1" applyBorder="1" applyAlignment="1">
      <alignment horizontal="center"/>
    </xf>
    <xf numFmtId="200" fontId="21" fillId="0" borderId="22" xfId="0" applyFont="1" applyFill="1" applyBorder="1" applyAlignment="1" applyProtection="1">
      <alignment vertical="center" wrapText="1"/>
      <protection/>
    </xf>
    <xf numFmtId="185" fontId="17" fillId="0" borderId="22" xfId="56" applyFont="1" applyFill="1" applyBorder="1" applyAlignment="1" applyProtection="1">
      <alignment/>
      <protection/>
    </xf>
    <xf numFmtId="200" fontId="22" fillId="0" borderId="22" xfId="0" applyFont="1" applyFill="1" applyBorder="1" applyAlignment="1" applyProtection="1">
      <alignment vertical="center" wrapText="1"/>
      <protection/>
    </xf>
    <xf numFmtId="39" fontId="16" fillId="34" borderId="22" xfId="56" applyNumberFormat="1" applyFont="1" applyFill="1" applyBorder="1" applyAlignment="1" applyProtection="1">
      <alignment/>
      <protection locked="0"/>
    </xf>
    <xf numFmtId="39" fontId="17" fillId="34" borderId="22" xfId="56" applyNumberFormat="1" applyFont="1" applyFill="1" applyBorder="1" applyAlignment="1" applyProtection="1">
      <alignment/>
      <protection locked="0"/>
    </xf>
    <xf numFmtId="39" fontId="17" fillId="35" borderId="22" xfId="56" applyNumberFormat="1" applyFont="1" applyFill="1" applyBorder="1" applyAlignment="1" applyProtection="1">
      <alignment/>
      <protection locked="0"/>
    </xf>
    <xf numFmtId="4" fontId="17" fillId="35" borderId="22" xfId="56" applyNumberFormat="1" applyFont="1" applyFill="1" applyBorder="1" applyAlignment="1" applyProtection="1">
      <alignment/>
      <protection locked="0"/>
    </xf>
    <xf numFmtId="39" fontId="17" fillId="0" borderId="22" xfId="56" applyNumberFormat="1" applyFont="1" applyFill="1" applyBorder="1" applyAlignment="1" applyProtection="1">
      <alignment/>
      <protection/>
    </xf>
    <xf numFmtId="4" fontId="17" fillId="36" borderId="22" xfId="56" applyNumberFormat="1" applyFont="1" applyFill="1" applyBorder="1" applyAlignment="1" applyProtection="1">
      <alignment/>
      <protection locked="0"/>
    </xf>
    <xf numFmtId="39" fontId="17" fillId="36" borderId="22" xfId="56" applyNumberFormat="1" applyFont="1" applyFill="1" applyBorder="1" applyAlignment="1" applyProtection="1">
      <alignment/>
      <protection locked="0"/>
    </xf>
    <xf numFmtId="39" fontId="17" fillId="33" borderId="23" xfId="56" applyNumberFormat="1" applyFont="1" applyFill="1" applyBorder="1" applyAlignment="1" applyProtection="1">
      <alignment/>
      <protection/>
    </xf>
    <xf numFmtId="185" fontId="16" fillId="0" borderId="22" xfId="56" applyFont="1" applyFill="1" applyBorder="1" applyAlignment="1" applyProtection="1">
      <alignment/>
      <protection/>
    </xf>
    <xf numFmtId="185" fontId="16" fillId="33" borderId="22" xfId="56" applyFont="1" applyFill="1" applyBorder="1" applyAlignment="1" applyProtection="1">
      <alignment/>
      <protection/>
    </xf>
    <xf numFmtId="39" fontId="16" fillId="33" borderId="22" xfId="56" applyNumberFormat="1" applyFont="1" applyFill="1" applyBorder="1" applyAlignment="1" applyProtection="1">
      <alignment/>
      <protection locked="0"/>
    </xf>
    <xf numFmtId="39" fontId="17" fillId="33" borderId="22" xfId="56" applyNumberFormat="1" applyFont="1" applyFill="1" applyBorder="1" applyAlignment="1" applyProtection="1">
      <alignment/>
      <protection locked="0"/>
    </xf>
    <xf numFmtId="4" fontId="23" fillId="35" borderId="22" xfId="0" applyNumberFormat="1" applyFont="1" applyFill="1" applyBorder="1" applyAlignment="1" applyProtection="1">
      <alignment horizontal="right"/>
      <protection locked="0"/>
    </xf>
    <xf numFmtId="4" fontId="16" fillId="36" borderId="22" xfId="56" applyNumberFormat="1" applyFont="1" applyFill="1" applyBorder="1" applyAlignment="1" applyProtection="1">
      <alignment/>
      <protection locked="0"/>
    </xf>
    <xf numFmtId="49" fontId="13" fillId="0" borderId="22" xfId="0" applyNumberFormat="1" applyFont="1" applyFill="1" applyBorder="1" applyAlignment="1" applyProtection="1">
      <alignment horizontal="center"/>
      <protection/>
    </xf>
    <xf numFmtId="185" fontId="17" fillId="33" borderId="22" xfId="56" applyFont="1" applyFill="1" applyBorder="1" applyAlignment="1" applyProtection="1">
      <alignment/>
      <protection/>
    </xf>
    <xf numFmtId="39" fontId="17" fillId="33" borderId="24" xfId="56" applyNumberFormat="1" applyFont="1" applyFill="1" applyBorder="1" applyAlignment="1" applyProtection="1">
      <alignment/>
      <protection locked="0"/>
    </xf>
    <xf numFmtId="39" fontId="17" fillId="35" borderId="24" xfId="56" applyNumberFormat="1" applyFont="1" applyFill="1" applyBorder="1" applyAlignment="1" applyProtection="1">
      <alignment/>
      <protection locked="0"/>
    </xf>
    <xf numFmtId="185" fontId="17" fillId="35" borderId="22" xfId="56" applyFont="1" applyFill="1" applyBorder="1" applyAlignment="1" applyProtection="1">
      <alignment/>
      <protection/>
    </xf>
    <xf numFmtId="4" fontId="18" fillId="0" borderId="22" xfId="56" applyNumberFormat="1" applyFont="1" applyFill="1" applyBorder="1" applyAlignment="1" applyProtection="1">
      <alignment/>
      <protection/>
    </xf>
    <xf numFmtId="39" fontId="16" fillId="35" borderId="22" xfId="56" applyNumberFormat="1" applyFont="1" applyFill="1" applyBorder="1" applyAlignment="1" applyProtection="1">
      <alignment/>
      <protection locked="0"/>
    </xf>
    <xf numFmtId="39" fontId="16" fillId="36" borderId="22" xfId="56" applyNumberFormat="1" applyFont="1" applyFill="1" applyBorder="1" applyAlignment="1" applyProtection="1">
      <alignment/>
      <protection locked="0"/>
    </xf>
    <xf numFmtId="4" fontId="17" fillId="33" borderId="22" xfId="56" applyNumberFormat="1" applyFont="1" applyFill="1" applyBorder="1" applyAlignment="1" applyProtection="1">
      <alignment/>
      <protection/>
    </xf>
    <xf numFmtId="4" fontId="17" fillId="34" borderId="22" xfId="56" applyNumberFormat="1" applyFont="1" applyFill="1" applyBorder="1" applyAlignment="1" applyProtection="1">
      <alignment/>
      <protection locked="0"/>
    </xf>
    <xf numFmtId="4" fontId="25" fillId="35" borderId="22" xfId="56" applyNumberFormat="1" applyFont="1" applyFill="1" applyBorder="1" applyAlignment="1" applyProtection="1">
      <alignment/>
      <protection locked="0"/>
    </xf>
    <xf numFmtId="185" fontId="17" fillId="35" borderId="22" xfId="56" applyFont="1" applyFill="1" applyBorder="1" applyAlignment="1" applyProtection="1">
      <alignment/>
      <protection locked="0"/>
    </xf>
    <xf numFmtId="4" fontId="16" fillId="34" borderId="22" xfId="56" applyNumberFormat="1" applyFont="1" applyFill="1" applyBorder="1" applyAlignment="1" applyProtection="1">
      <alignment/>
      <protection locked="0"/>
    </xf>
    <xf numFmtId="39" fontId="16" fillId="35" borderId="22" xfId="56" applyNumberFormat="1" applyFont="1" applyFill="1" applyBorder="1" applyAlignment="1" applyProtection="1">
      <alignment/>
      <protection/>
    </xf>
    <xf numFmtId="200" fontId="22" fillId="0" borderId="22" xfId="0" applyFont="1" applyFill="1" applyBorder="1" applyAlignment="1" applyProtection="1" quotePrefix="1">
      <alignment horizontal="left" vertical="center" wrapText="1"/>
      <protection/>
    </xf>
    <xf numFmtId="200" fontId="13" fillId="0" borderId="21" xfId="0" applyFont="1" applyBorder="1" applyAlignment="1" quotePrefix="1">
      <alignment horizontal="center"/>
    </xf>
    <xf numFmtId="39" fontId="17" fillId="35" borderId="22" xfId="56" applyNumberFormat="1" applyFont="1" applyFill="1" applyBorder="1" applyAlignment="1" applyProtection="1">
      <alignment/>
      <protection/>
    </xf>
    <xf numFmtId="185" fontId="18" fillId="0" borderId="22" xfId="56" applyFont="1" applyFill="1" applyBorder="1" applyAlignment="1" applyProtection="1">
      <alignment/>
      <protection/>
    </xf>
    <xf numFmtId="200" fontId="13" fillId="0" borderId="21" xfId="0" applyFont="1" applyBorder="1" applyAlignment="1">
      <alignment horizontal="center" vertical="center" wrapText="1"/>
    </xf>
    <xf numFmtId="200" fontId="18" fillId="0" borderId="22" xfId="0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>
      <alignment horizontal="center" vertical="center" wrapText="1"/>
    </xf>
    <xf numFmtId="39" fontId="16" fillId="34" borderId="22" xfId="56" applyNumberFormat="1" applyFont="1" applyFill="1" applyBorder="1" applyAlignment="1" applyProtection="1">
      <alignment vertical="center" wrapText="1"/>
      <protection locked="0"/>
    </xf>
    <xf numFmtId="4" fontId="17" fillId="0" borderId="22" xfId="56" applyNumberFormat="1" applyFont="1" applyFill="1" applyBorder="1" applyAlignment="1" applyProtection="1">
      <alignment vertical="center" wrapText="1"/>
      <protection/>
    </xf>
    <xf numFmtId="39" fontId="16" fillId="35" borderId="22" xfId="56" applyNumberFormat="1" applyFont="1" applyFill="1" applyBorder="1" applyAlignment="1" applyProtection="1">
      <alignment vertical="center" wrapText="1"/>
      <protection locked="0"/>
    </xf>
    <xf numFmtId="39" fontId="17" fillId="0" borderId="22" xfId="56" applyNumberFormat="1" applyFont="1" applyFill="1" applyBorder="1" applyAlignment="1" applyProtection="1">
      <alignment vertical="center" wrapText="1"/>
      <protection/>
    </xf>
    <xf numFmtId="39" fontId="16" fillId="36" borderId="22" xfId="56" applyNumberFormat="1" applyFont="1" applyFill="1" applyBorder="1" applyAlignment="1" applyProtection="1">
      <alignment vertical="center" wrapText="1"/>
      <protection locked="0"/>
    </xf>
    <xf numFmtId="39" fontId="17" fillId="33" borderId="23" xfId="56" applyNumberFormat="1" applyFont="1" applyFill="1" applyBorder="1" applyAlignment="1" applyProtection="1">
      <alignment vertical="center" wrapText="1"/>
      <protection/>
    </xf>
    <xf numFmtId="4" fontId="17" fillId="0" borderId="22" xfId="56" applyNumberFormat="1" applyFont="1" applyBorder="1" applyAlignment="1">
      <alignment horizontal="right" vertical="center" wrapText="1"/>
    </xf>
    <xf numFmtId="200" fontId="18" fillId="0" borderId="22" xfId="0" applyFont="1" applyFill="1" applyBorder="1" applyAlignment="1" applyProtection="1" quotePrefix="1">
      <alignment horizontal="center" vertical="center" wrapText="1"/>
      <protection/>
    </xf>
    <xf numFmtId="1" fontId="13" fillId="0" borderId="22" xfId="0" applyNumberFormat="1" applyFont="1" applyBorder="1" applyAlignment="1">
      <alignment horizontal="center" vertical="center" wrapText="1"/>
    </xf>
    <xf numFmtId="4" fontId="17" fillId="0" borderId="22" xfId="56" applyNumberFormat="1" applyFont="1" applyFill="1" applyBorder="1" applyAlignment="1">
      <alignment horizontal="right" vertical="center" wrapText="1"/>
    </xf>
    <xf numFmtId="39" fontId="17" fillId="34" borderId="22" xfId="56" applyNumberFormat="1" applyFont="1" applyFill="1" applyBorder="1" applyAlignment="1" applyProtection="1">
      <alignment vertical="center" wrapText="1"/>
      <protection locked="0"/>
    </xf>
    <xf numFmtId="1" fontId="13" fillId="0" borderId="22" xfId="0" applyNumberFormat="1" applyFont="1" applyBorder="1" applyAlignment="1" quotePrefix="1">
      <alignment horizontal="center" vertical="center" wrapText="1"/>
    </xf>
    <xf numFmtId="200" fontId="26" fillId="0" borderId="0" xfId="0" applyFont="1" applyBorder="1" applyAlignment="1">
      <alignment/>
    </xf>
    <xf numFmtId="200" fontId="13" fillId="0" borderId="21" xfId="0" applyFont="1" applyBorder="1" applyAlignment="1" quotePrefix="1">
      <alignment horizontal="center" vertical="center" wrapText="1"/>
    </xf>
    <xf numFmtId="4" fontId="16" fillId="0" borderId="22" xfId="56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200" fontId="0" fillId="0" borderId="0" xfId="0" applyFill="1" applyBorder="1" applyAlignment="1">
      <alignment/>
    </xf>
    <xf numFmtId="200" fontId="13" fillId="0" borderId="25" xfId="0" applyFont="1" applyBorder="1" applyAlignment="1">
      <alignment horizontal="center"/>
    </xf>
    <xf numFmtId="200" fontId="18" fillId="0" borderId="26" xfId="0" applyFont="1" applyFill="1" applyBorder="1" applyAlignment="1" applyProtection="1">
      <alignment horizontal="center"/>
      <protection/>
    </xf>
    <xf numFmtId="49" fontId="18" fillId="0" borderId="27" xfId="0" applyNumberFormat="1" applyFont="1" applyFill="1" applyBorder="1" applyAlignment="1" applyProtection="1">
      <alignment horizontal="center"/>
      <protection/>
    </xf>
    <xf numFmtId="49" fontId="18" fillId="0" borderId="27" xfId="0" applyNumberFormat="1" applyFont="1" applyFill="1" applyBorder="1" applyAlignment="1">
      <alignment horizontal="center"/>
    </xf>
    <xf numFmtId="200" fontId="22" fillId="0" borderId="27" xfId="0" applyFont="1" applyFill="1" applyBorder="1" applyAlignment="1" applyProtection="1">
      <alignment vertical="center" wrapText="1"/>
      <protection/>
    </xf>
    <xf numFmtId="185" fontId="17" fillId="0" borderId="27" xfId="56" applyFont="1" applyFill="1" applyBorder="1" applyAlignment="1" applyProtection="1">
      <alignment/>
      <protection/>
    </xf>
    <xf numFmtId="200" fontId="13" fillId="0" borderId="28" xfId="0" applyFont="1" applyBorder="1" applyAlignment="1">
      <alignment horizontal="center"/>
    </xf>
    <xf numFmtId="200" fontId="18" fillId="0" borderId="24" xfId="0" applyFont="1" applyFill="1" applyBorder="1" applyAlignment="1" applyProtection="1">
      <alignment horizontal="center"/>
      <protection/>
    </xf>
    <xf numFmtId="200" fontId="13" fillId="37" borderId="21" xfId="0" applyFont="1" applyFill="1" applyBorder="1" applyAlignment="1">
      <alignment horizontal="center"/>
    </xf>
    <xf numFmtId="49" fontId="18" fillId="37" borderId="22" xfId="0" applyNumberFormat="1" applyFont="1" applyFill="1" applyBorder="1" applyAlignment="1" applyProtection="1">
      <alignment horizontal="center"/>
      <protection/>
    </xf>
    <xf numFmtId="49" fontId="18" fillId="37" borderId="22" xfId="0" applyNumberFormat="1" applyFont="1" applyFill="1" applyBorder="1" applyAlignment="1">
      <alignment horizontal="center"/>
    </xf>
    <xf numFmtId="200" fontId="20" fillId="37" borderId="22" xfId="0" applyFont="1" applyFill="1" applyBorder="1" applyAlignment="1" applyProtection="1">
      <alignment vertical="center" wrapText="1"/>
      <protection/>
    </xf>
    <xf numFmtId="185" fontId="16" fillId="37" borderId="22" xfId="56" applyFont="1" applyFill="1" applyBorder="1" applyAlignment="1" applyProtection="1">
      <alignment/>
      <protection/>
    </xf>
    <xf numFmtId="200" fontId="27" fillId="38" borderId="22" xfId="0" applyFont="1" applyFill="1" applyBorder="1" applyAlignment="1" applyProtection="1">
      <alignment horizontal="center" vertical="center"/>
      <protection/>
    </xf>
    <xf numFmtId="4" fontId="13" fillId="38" borderId="22" xfId="56" applyNumberFormat="1" applyFont="1" applyFill="1" applyBorder="1" applyAlignment="1" applyProtection="1">
      <alignment/>
      <protection/>
    </xf>
    <xf numFmtId="200" fontId="18" fillId="37" borderId="22" xfId="0" applyFont="1" applyFill="1" applyBorder="1" applyAlignment="1" applyProtection="1">
      <alignment horizontal="center"/>
      <protection/>
    </xf>
    <xf numFmtId="4" fontId="17" fillId="0" borderId="27" xfId="56" applyNumberFormat="1" applyFont="1" applyFill="1" applyBorder="1" applyAlignment="1">
      <alignment horizontal="right" vertical="center" wrapText="1"/>
    </xf>
    <xf numFmtId="200" fontId="23" fillId="38" borderId="29" xfId="0" applyFont="1" applyFill="1" applyBorder="1" applyAlignment="1">
      <alignment/>
    </xf>
    <xf numFmtId="200" fontId="0" fillId="38" borderId="30" xfId="0" applyFill="1" applyBorder="1" applyAlignment="1">
      <alignment/>
    </xf>
    <xf numFmtId="200" fontId="0" fillId="38" borderId="31" xfId="0" applyFill="1" applyBorder="1" applyAlignment="1">
      <alignment/>
    </xf>
    <xf numFmtId="200" fontId="24" fillId="38" borderId="32" xfId="0" applyFont="1" applyFill="1" applyBorder="1" applyAlignment="1" applyProtection="1">
      <alignment horizontal="left" vertical="center" wrapText="1"/>
      <protection/>
    </xf>
    <xf numFmtId="39" fontId="13" fillId="38" borderId="33" xfId="56" applyNumberFormat="1" applyFont="1" applyFill="1" applyBorder="1" applyAlignment="1">
      <alignment/>
    </xf>
    <xf numFmtId="200" fontId="23" fillId="38" borderId="15" xfId="0" applyFont="1" applyFill="1" applyBorder="1" applyAlignment="1">
      <alignment/>
    </xf>
    <xf numFmtId="200" fontId="0" fillId="38" borderId="16" xfId="0" applyFill="1" applyBorder="1" applyAlignment="1">
      <alignment/>
    </xf>
    <xf numFmtId="200" fontId="0" fillId="38" borderId="17" xfId="0" applyFill="1" applyBorder="1" applyAlignment="1">
      <alignment/>
    </xf>
    <xf numFmtId="200" fontId="24" fillId="38" borderId="34" xfId="0" applyFont="1" applyFill="1" applyBorder="1" applyAlignment="1" applyProtection="1">
      <alignment horizontal="left" vertical="center" wrapText="1"/>
      <protection/>
    </xf>
    <xf numFmtId="200" fontId="13" fillId="0" borderId="35" xfId="0" applyFont="1" applyBorder="1" applyAlignment="1">
      <alignment horizontal="center"/>
    </xf>
    <xf numFmtId="200" fontId="24" fillId="0" borderId="27" xfId="0" applyFont="1" applyFill="1" applyBorder="1" applyAlignment="1" applyProtection="1">
      <alignment vertical="center" wrapText="1"/>
      <protection/>
    </xf>
    <xf numFmtId="49" fontId="18" fillId="0" borderId="24" xfId="0" applyNumberFormat="1" applyFont="1" applyFill="1" applyBorder="1" applyAlignment="1" applyProtection="1">
      <alignment horizontal="center"/>
      <protection/>
    </xf>
    <xf numFmtId="49" fontId="18" fillId="0" borderId="24" xfId="0" applyNumberFormat="1" applyFont="1" applyFill="1" applyBorder="1" applyAlignment="1">
      <alignment horizontal="center"/>
    </xf>
    <xf numFmtId="4" fontId="17" fillId="0" borderId="24" xfId="56" applyNumberFormat="1" applyFont="1" applyFill="1" applyBorder="1" applyAlignment="1" applyProtection="1">
      <alignment/>
      <protection/>
    </xf>
    <xf numFmtId="39" fontId="16" fillId="34" borderId="24" xfId="56" applyNumberFormat="1" applyFont="1" applyFill="1" applyBorder="1" applyAlignment="1" applyProtection="1">
      <alignment/>
      <protection locked="0"/>
    </xf>
    <xf numFmtId="185" fontId="16" fillId="33" borderId="24" xfId="56" applyFont="1" applyFill="1" applyBorder="1" applyAlignment="1" applyProtection="1">
      <alignment/>
      <protection locked="0"/>
    </xf>
    <xf numFmtId="39" fontId="16" fillId="33" borderId="24" xfId="56" applyNumberFormat="1" applyFont="1" applyFill="1" applyBorder="1" applyAlignment="1" applyProtection="1">
      <alignment/>
      <protection/>
    </xf>
    <xf numFmtId="39" fontId="17" fillId="33" borderId="36" xfId="56" applyNumberFormat="1" applyFont="1" applyFill="1" applyBorder="1" applyAlignment="1" applyProtection="1">
      <alignment/>
      <protection/>
    </xf>
    <xf numFmtId="4" fontId="18" fillId="36" borderId="22" xfId="56" applyNumberFormat="1" applyFont="1" applyFill="1" applyBorder="1" applyAlignment="1" applyProtection="1">
      <alignment/>
      <protection/>
    </xf>
    <xf numFmtId="200" fontId="13" fillId="33" borderId="21" xfId="0" applyFont="1" applyFill="1" applyBorder="1" applyAlignment="1">
      <alignment horizontal="center"/>
    </xf>
    <xf numFmtId="49" fontId="18" fillId="33" borderId="22" xfId="0" applyNumberFormat="1" applyFont="1" applyFill="1" applyBorder="1" applyAlignment="1" applyProtection="1">
      <alignment horizontal="center"/>
      <protection/>
    </xf>
    <xf numFmtId="49" fontId="18" fillId="33" borderId="22" xfId="0" applyNumberFormat="1" applyFont="1" applyFill="1" applyBorder="1" applyAlignment="1">
      <alignment horizontal="center"/>
    </xf>
    <xf numFmtId="200" fontId="24" fillId="33" borderId="22" xfId="0" applyFont="1" applyFill="1" applyBorder="1" applyAlignment="1" applyProtection="1">
      <alignment vertical="center" wrapText="1"/>
      <protection/>
    </xf>
    <xf numFmtId="4" fontId="18" fillId="33" borderId="22" xfId="56" applyNumberFormat="1" applyFont="1" applyFill="1" applyBorder="1" applyAlignment="1" applyProtection="1">
      <alignment/>
      <protection/>
    </xf>
    <xf numFmtId="200" fontId="13" fillId="38" borderId="32" xfId="0" applyFont="1" applyFill="1" applyBorder="1" applyAlignment="1">
      <alignment horizontal="center"/>
    </xf>
    <xf numFmtId="200" fontId="18" fillId="38" borderId="33" xfId="0" applyFont="1" applyFill="1" applyBorder="1" applyAlignment="1" applyProtection="1">
      <alignment horizontal="center"/>
      <protection/>
    </xf>
    <xf numFmtId="49" fontId="18" fillId="38" borderId="33" xfId="0" applyNumberFormat="1" applyFont="1" applyFill="1" applyBorder="1" applyAlignment="1" applyProtection="1">
      <alignment horizontal="center"/>
      <protection/>
    </xf>
    <xf numFmtId="49" fontId="18" fillId="38" borderId="33" xfId="0" applyNumberFormat="1" applyFont="1" applyFill="1" applyBorder="1" applyAlignment="1">
      <alignment horizontal="center"/>
    </xf>
    <xf numFmtId="200" fontId="20" fillId="38" borderId="33" xfId="0" applyFont="1" applyFill="1" applyBorder="1" applyAlignment="1" applyProtection="1">
      <alignment vertical="center" wrapText="1"/>
      <protection/>
    </xf>
    <xf numFmtId="185" fontId="16" fillId="38" borderId="33" xfId="56" applyFont="1" applyFill="1" applyBorder="1" applyAlignment="1" applyProtection="1">
      <alignment/>
      <protection/>
    </xf>
    <xf numFmtId="185" fontId="16" fillId="38" borderId="30" xfId="56" applyFont="1" applyFill="1" applyBorder="1" applyAlignment="1" applyProtection="1">
      <alignment/>
      <protection locked="0"/>
    </xf>
    <xf numFmtId="185" fontId="17" fillId="38" borderId="30" xfId="56" applyFont="1" applyFill="1" applyBorder="1" applyAlignment="1" applyProtection="1">
      <alignment/>
      <protection/>
    </xf>
    <xf numFmtId="39" fontId="16" fillId="38" borderId="30" xfId="56" applyNumberFormat="1" applyFont="1" applyFill="1" applyBorder="1" applyAlignment="1" applyProtection="1">
      <alignment/>
      <protection locked="0"/>
    </xf>
    <xf numFmtId="185" fontId="16" fillId="38" borderId="30" xfId="56" applyFont="1" applyFill="1" applyBorder="1" applyAlignment="1" applyProtection="1">
      <alignment/>
      <protection/>
    </xf>
    <xf numFmtId="4" fontId="17" fillId="38" borderId="30" xfId="56" applyNumberFormat="1" applyFont="1" applyFill="1" applyBorder="1" applyAlignment="1" applyProtection="1">
      <alignment/>
      <protection locked="0"/>
    </xf>
    <xf numFmtId="39" fontId="17" fillId="38" borderId="31" xfId="56" applyNumberFormat="1" applyFont="1" applyFill="1" applyBorder="1" applyAlignment="1" applyProtection="1">
      <alignment/>
      <protection/>
    </xf>
    <xf numFmtId="200" fontId="13" fillId="38" borderId="21" xfId="0" applyFont="1" applyFill="1" applyBorder="1" applyAlignment="1">
      <alignment horizontal="center"/>
    </xf>
    <xf numFmtId="49" fontId="18" fillId="38" borderId="22" xfId="0" applyNumberFormat="1" applyFont="1" applyFill="1" applyBorder="1" applyAlignment="1" applyProtection="1">
      <alignment horizontal="center"/>
      <protection/>
    </xf>
    <xf numFmtId="49" fontId="18" fillId="38" borderId="22" xfId="0" applyNumberFormat="1" applyFont="1" applyFill="1" applyBorder="1" applyAlignment="1">
      <alignment horizontal="center"/>
    </xf>
    <xf numFmtId="185" fontId="16" fillId="38" borderId="22" xfId="56" applyFont="1" applyFill="1" applyBorder="1" applyAlignment="1" applyProtection="1">
      <alignment/>
      <protection/>
    </xf>
    <xf numFmtId="39" fontId="16" fillId="38" borderId="22" xfId="56" applyNumberFormat="1" applyFont="1" applyFill="1" applyBorder="1" applyAlignment="1" applyProtection="1">
      <alignment/>
      <protection locked="0"/>
    </xf>
    <xf numFmtId="39" fontId="17" fillId="38" borderId="22" xfId="56" applyNumberFormat="1" applyFont="1" applyFill="1" applyBorder="1" applyAlignment="1" applyProtection="1">
      <alignment/>
      <protection/>
    </xf>
    <xf numFmtId="39" fontId="17" fillId="38" borderId="22" xfId="56" applyNumberFormat="1" applyFont="1" applyFill="1" applyBorder="1" applyAlignment="1" applyProtection="1">
      <alignment/>
      <protection locked="0"/>
    </xf>
    <xf numFmtId="39" fontId="16" fillId="37" borderId="22" xfId="56" applyNumberFormat="1" applyFont="1" applyFill="1" applyBorder="1" applyAlignment="1" applyProtection="1">
      <alignment vertical="center" wrapText="1"/>
      <protection locked="0"/>
    </xf>
    <xf numFmtId="4" fontId="17" fillId="37" borderId="22" xfId="56" applyNumberFormat="1" applyFont="1" applyFill="1" applyBorder="1" applyAlignment="1" applyProtection="1">
      <alignment vertical="center" wrapText="1"/>
      <protection/>
    </xf>
    <xf numFmtId="39" fontId="17" fillId="37" borderId="22" xfId="56" applyNumberFormat="1" applyFont="1" applyFill="1" applyBorder="1" applyAlignment="1" applyProtection="1">
      <alignment vertical="center" wrapText="1"/>
      <protection/>
    </xf>
    <xf numFmtId="39" fontId="17" fillId="37" borderId="23" xfId="56" applyNumberFormat="1" applyFont="1" applyFill="1" applyBorder="1" applyAlignment="1" applyProtection="1">
      <alignment vertical="center" wrapText="1"/>
      <protection/>
    </xf>
    <xf numFmtId="4" fontId="18" fillId="33" borderId="23" xfId="56" applyNumberFormat="1" applyFont="1" applyFill="1" applyBorder="1" applyAlignment="1" applyProtection="1">
      <alignment/>
      <protection/>
    </xf>
    <xf numFmtId="4" fontId="16" fillId="34" borderId="22" xfId="56" applyNumberFormat="1" applyFont="1" applyFill="1" applyBorder="1" applyAlignment="1" applyProtection="1">
      <alignment/>
      <protection/>
    </xf>
    <xf numFmtId="4" fontId="17" fillId="0" borderId="22" xfId="56" applyNumberFormat="1" applyFont="1" applyFill="1" applyBorder="1" applyAlignment="1" applyProtection="1">
      <alignment/>
      <protection/>
    </xf>
    <xf numFmtId="4" fontId="16" fillId="35" borderId="22" xfId="56" applyNumberFormat="1" applyFont="1" applyFill="1" applyBorder="1" applyAlignment="1" applyProtection="1">
      <alignment/>
      <protection/>
    </xf>
    <xf numFmtId="4" fontId="16" fillId="36" borderId="22" xfId="56" applyNumberFormat="1" applyFont="1" applyFill="1" applyBorder="1" applyAlignment="1" applyProtection="1">
      <alignment/>
      <protection/>
    </xf>
    <xf numFmtId="4" fontId="17" fillId="34" borderId="24" xfId="56" applyNumberFormat="1" applyFont="1" applyFill="1" applyBorder="1" applyAlignment="1" applyProtection="1">
      <alignment/>
      <protection/>
    </xf>
    <xf numFmtId="4" fontId="17" fillId="34" borderId="24" xfId="56" applyNumberFormat="1" applyFont="1" applyFill="1" applyBorder="1" applyAlignment="1" applyProtection="1">
      <alignment/>
      <protection locked="0"/>
    </xf>
    <xf numFmtId="39" fontId="17" fillId="34" borderId="24" xfId="56" applyNumberFormat="1" applyFont="1" applyFill="1" applyBorder="1" applyAlignment="1" applyProtection="1">
      <alignment/>
      <protection locked="0"/>
    </xf>
    <xf numFmtId="4" fontId="16" fillId="34" borderId="24" xfId="56" applyNumberFormat="1" applyFont="1" applyFill="1" applyBorder="1" applyAlignment="1" applyProtection="1">
      <alignment/>
      <protection locked="0"/>
    </xf>
    <xf numFmtId="4" fontId="16" fillId="34" borderId="24" xfId="56" applyNumberFormat="1" applyFont="1" applyFill="1" applyBorder="1" applyAlignment="1" applyProtection="1">
      <alignment/>
      <protection/>
    </xf>
    <xf numFmtId="185" fontId="13" fillId="0" borderId="27" xfId="56" applyFont="1" applyFill="1" applyBorder="1" applyAlignment="1" applyProtection="1">
      <alignment/>
      <protection/>
    </xf>
    <xf numFmtId="4" fontId="13" fillId="33" borderId="22" xfId="56" applyNumberFormat="1" applyFont="1" applyFill="1" applyBorder="1" applyAlignment="1" applyProtection="1">
      <alignment/>
      <protection/>
    </xf>
    <xf numFmtId="39" fontId="17" fillId="36" borderId="22" xfId="56" applyNumberFormat="1" applyFont="1" applyFill="1" applyBorder="1" applyAlignment="1" applyProtection="1">
      <alignment horizontal="right" vertical="center" wrapText="1"/>
      <protection locked="0"/>
    </xf>
    <xf numFmtId="4" fontId="17" fillId="36" borderId="22" xfId="56" applyNumberFormat="1" applyFont="1" applyFill="1" applyBorder="1" applyAlignment="1" applyProtection="1">
      <alignment horizontal="right" vertical="center" wrapText="1"/>
      <protection locked="0"/>
    </xf>
    <xf numFmtId="39" fontId="17" fillId="33" borderId="22" xfId="56" applyNumberFormat="1" applyFont="1" applyFill="1" applyBorder="1" applyAlignment="1" applyProtection="1">
      <alignment horizontal="right" vertical="center" wrapText="1"/>
      <protection locked="0"/>
    </xf>
    <xf numFmtId="185" fontId="16" fillId="38" borderId="30" xfId="56" applyFont="1" applyFill="1" applyBorder="1" applyAlignment="1" applyProtection="1">
      <alignment horizontal="right" vertical="center" wrapText="1"/>
      <protection locked="0"/>
    </xf>
    <xf numFmtId="39" fontId="17" fillId="38" borderId="22" xfId="56" applyNumberFormat="1" applyFont="1" applyFill="1" applyBorder="1" applyAlignment="1" applyProtection="1">
      <alignment horizontal="right" vertical="center" wrapText="1"/>
      <protection locked="0"/>
    </xf>
    <xf numFmtId="39" fontId="16" fillId="36" borderId="22" xfId="56" applyNumberFormat="1" applyFont="1" applyFill="1" applyBorder="1" applyAlignment="1" applyProtection="1">
      <alignment horizontal="right" vertical="center" wrapText="1"/>
      <protection locked="0"/>
    </xf>
    <xf numFmtId="39" fontId="16" fillId="37" borderId="22" xfId="56" applyNumberFormat="1" applyFont="1" applyFill="1" applyBorder="1" applyAlignment="1" applyProtection="1">
      <alignment horizontal="right" vertical="center" wrapText="1"/>
      <protection locked="0"/>
    </xf>
    <xf numFmtId="39" fontId="17" fillId="36" borderId="22" xfId="56" applyNumberFormat="1" applyFont="1" applyFill="1" applyBorder="1" applyAlignment="1" applyProtection="1">
      <alignment/>
      <protection/>
    </xf>
    <xf numFmtId="39" fontId="17" fillId="36" borderId="22" xfId="56" applyNumberFormat="1" applyFont="1" applyFill="1" applyBorder="1" applyAlignment="1" applyProtection="1">
      <alignment horizontal="right" wrapText="1"/>
      <protection locked="0"/>
    </xf>
    <xf numFmtId="200" fontId="21" fillId="0" borderId="24" xfId="0" applyFont="1" applyFill="1" applyBorder="1" applyAlignment="1" applyProtection="1">
      <alignment vertical="center" wrapText="1"/>
      <protection/>
    </xf>
    <xf numFmtId="4" fontId="17" fillId="33" borderId="22" xfId="56" applyNumberFormat="1" applyFont="1" applyFill="1" applyBorder="1" applyAlignment="1" applyProtection="1">
      <alignment/>
      <protection locked="0"/>
    </xf>
    <xf numFmtId="185" fontId="13" fillId="0" borderId="37" xfId="56" applyFont="1" applyFill="1" applyBorder="1" applyAlignment="1" applyProtection="1">
      <alignment/>
      <protection/>
    </xf>
    <xf numFmtId="4" fontId="13" fillId="38" borderId="23" xfId="56" applyNumberFormat="1" applyFont="1" applyFill="1" applyBorder="1" applyAlignment="1" applyProtection="1">
      <alignment/>
      <protection/>
    </xf>
    <xf numFmtId="39" fontId="13" fillId="38" borderId="38" xfId="56" applyNumberFormat="1" applyFont="1" applyFill="1" applyBorder="1" applyAlignment="1">
      <alignment/>
    </xf>
    <xf numFmtId="200" fontId="93" fillId="33" borderId="0" xfId="0" applyFont="1" applyFill="1" applyBorder="1" applyAlignment="1">
      <alignment/>
    </xf>
    <xf numFmtId="39" fontId="16" fillId="33" borderId="22" xfId="0" applyNumberFormat="1" applyFont="1" applyFill="1" applyBorder="1" applyAlignment="1" applyProtection="1">
      <alignment/>
      <protection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200" fontId="28" fillId="0" borderId="22" xfId="0" applyFont="1" applyFill="1" applyBorder="1" applyAlignment="1" applyProtection="1">
      <alignment horizontal="left" vertical="center" wrapText="1"/>
      <protection/>
    </xf>
    <xf numFmtId="200" fontId="29" fillId="0" borderId="22" xfId="0" applyFont="1" applyFill="1" applyBorder="1" applyAlignment="1" applyProtection="1">
      <alignment horizontal="left" vertical="center" wrapText="1"/>
      <protection/>
    </xf>
    <xf numFmtId="39" fontId="16" fillId="34" borderId="22" xfId="56" applyNumberFormat="1" applyFont="1" applyFill="1" applyBorder="1" applyAlignment="1" applyProtection="1">
      <alignment horizontal="right"/>
      <protection locked="0"/>
    </xf>
    <xf numFmtId="200" fontId="23" fillId="39" borderId="13" xfId="0" applyFont="1" applyFill="1" applyBorder="1" applyAlignment="1">
      <alignment/>
    </xf>
    <xf numFmtId="200" fontId="0" fillId="39" borderId="0" xfId="0" applyFill="1" applyBorder="1" applyAlignment="1">
      <alignment/>
    </xf>
    <xf numFmtId="4" fontId="17" fillId="39" borderId="0" xfId="0" applyNumberFormat="1" applyFont="1" applyFill="1" applyBorder="1" applyAlignment="1">
      <alignment/>
    </xf>
    <xf numFmtId="4" fontId="0" fillId="39" borderId="0" xfId="0" applyNumberFormat="1" applyFill="1" applyBorder="1" applyAlignment="1">
      <alignment/>
    </xf>
    <xf numFmtId="39" fontId="13" fillId="39" borderId="0" xfId="56" applyNumberFormat="1" applyFont="1" applyFill="1" applyBorder="1" applyAlignment="1">
      <alignment/>
    </xf>
    <xf numFmtId="200" fontId="0" fillId="39" borderId="13" xfId="0" applyFill="1" applyBorder="1" applyAlignment="1">
      <alignment/>
    </xf>
    <xf numFmtId="200" fontId="31" fillId="39" borderId="0" xfId="0" applyFont="1" applyFill="1" applyBorder="1" applyAlignment="1">
      <alignment horizontal="left"/>
    </xf>
    <xf numFmtId="200" fontId="0" fillId="39" borderId="15" xfId="0" applyFill="1" applyBorder="1" applyAlignment="1">
      <alignment/>
    </xf>
    <xf numFmtId="200" fontId="0" fillId="39" borderId="16" xfId="0" applyFill="1" applyBorder="1" applyAlignment="1">
      <alignment/>
    </xf>
    <xf numFmtId="200" fontId="31" fillId="39" borderId="16" xfId="0" applyFont="1" applyFill="1" applyBorder="1" applyAlignment="1">
      <alignment horizontal="left"/>
    </xf>
    <xf numFmtId="4" fontId="0" fillId="39" borderId="16" xfId="0" applyNumberFormat="1" applyFill="1" applyBorder="1" applyAlignment="1">
      <alignment/>
    </xf>
    <xf numFmtId="200" fontId="18" fillId="38" borderId="22" xfId="0" applyFont="1" applyFill="1" applyBorder="1" applyAlignment="1" applyProtection="1">
      <alignment vertical="center" wrapText="1"/>
      <protection/>
    </xf>
    <xf numFmtId="10" fontId="0" fillId="39" borderId="0" xfId="0" applyNumberFormat="1" applyFill="1" applyBorder="1" applyAlignment="1">
      <alignment/>
    </xf>
    <xf numFmtId="49" fontId="18" fillId="0" borderId="22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 applyProtection="1">
      <alignment horizontal="center"/>
      <protection/>
    </xf>
    <xf numFmtId="39" fontId="94" fillId="33" borderId="39" xfId="56" applyNumberFormat="1" applyFont="1" applyFill="1" applyBorder="1" applyAlignment="1" applyProtection="1">
      <alignment horizontal="center" vertical="center" wrapText="1"/>
      <protection/>
    </xf>
    <xf numFmtId="39" fontId="95" fillId="33" borderId="39" xfId="56" applyNumberFormat="1" applyFont="1" applyFill="1" applyBorder="1" applyAlignment="1" applyProtection="1">
      <alignment vertical="center" wrapText="1"/>
      <protection/>
    </xf>
    <xf numFmtId="200" fontId="18" fillId="7" borderId="22" xfId="0" applyFont="1" applyFill="1" applyBorder="1" applyAlignment="1" applyProtection="1">
      <alignment horizontal="center"/>
      <protection/>
    </xf>
    <xf numFmtId="37" fontId="18" fillId="7" borderId="22" xfId="0" applyNumberFormat="1" applyFont="1" applyFill="1" applyBorder="1" applyAlignment="1" applyProtection="1" quotePrefix="1">
      <alignment horizontal="center"/>
      <protection/>
    </xf>
    <xf numFmtId="39" fontId="17" fillId="7" borderId="22" xfId="56" applyNumberFormat="1" applyFont="1" applyFill="1" applyBorder="1" applyAlignment="1" applyProtection="1">
      <alignment/>
      <protection/>
    </xf>
    <xf numFmtId="39" fontId="17" fillId="33" borderId="22" xfId="56" applyNumberFormat="1" applyFont="1" applyFill="1" applyBorder="1" applyAlignment="1" applyProtection="1">
      <alignment/>
      <protection/>
    </xf>
    <xf numFmtId="39" fontId="17" fillId="38" borderId="40" xfId="56" applyNumberFormat="1" applyFont="1" applyFill="1" applyBorder="1" applyAlignment="1" applyProtection="1">
      <alignment/>
      <protection/>
    </xf>
    <xf numFmtId="39" fontId="17" fillId="33" borderId="24" xfId="56" applyNumberFormat="1" applyFont="1" applyFill="1" applyBorder="1" applyAlignment="1" applyProtection="1">
      <alignment/>
      <protection/>
    </xf>
    <xf numFmtId="39" fontId="17" fillId="7" borderId="22" xfId="56" applyNumberFormat="1" applyFont="1" applyFill="1" applyBorder="1" applyAlignment="1" applyProtection="1">
      <alignment vertical="center"/>
      <protection/>
    </xf>
    <xf numFmtId="39" fontId="94" fillId="38" borderId="40" xfId="56" applyNumberFormat="1" applyFont="1" applyFill="1" applyBorder="1" applyAlignment="1">
      <alignment/>
    </xf>
    <xf numFmtId="39" fontId="94" fillId="38" borderId="38" xfId="56" applyNumberFormat="1" applyFont="1" applyFill="1" applyBorder="1" applyAlignment="1">
      <alignment/>
    </xf>
    <xf numFmtId="185" fontId="94" fillId="0" borderId="27" xfId="56" applyFont="1" applyFill="1" applyBorder="1" applyAlignment="1" applyProtection="1">
      <alignment/>
      <protection/>
    </xf>
    <xf numFmtId="200" fontId="94" fillId="33" borderId="13" xfId="0" applyFont="1" applyFill="1" applyBorder="1" applyAlignment="1">
      <alignment horizontal="center"/>
    </xf>
    <xf numFmtId="200" fontId="94" fillId="33" borderId="0" xfId="0" applyFont="1" applyFill="1" applyBorder="1" applyAlignment="1">
      <alignment horizontal="center"/>
    </xf>
    <xf numFmtId="200" fontId="96" fillId="33" borderId="0" xfId="0" applyFont="1" applyFill="1" applyBorder="1" applyAlignment="1">
      <alignment horizontal="center"/>
    </xf>
    <xf numFmtId="200" fontId="94" fillId="33" borderId="14" xfId="0" applyFont="1" applyFill="1" applyBorder="1" applyAlignment="1">
      <alignment horizontal="center"/>
    </xf>
    <xf numFmtId="4" fontId="94" fillId="33" borderId="22" xfId="56" applyNumberFormat="1" applyFont="1" applyFill="1" applyBorder="1" applyAlignment="1" applyProtection="1">
      <alignment/>
      <protection/>
    </xf>
    <xf numFmtId="4" fontId="94" fillId="0" borderId="22" xfId="56" applyNumberFormat="1" applyFont="1" applyFill="1" applyBorder="1" applyAlignment="1" applyProtection="1">
      <alignment/>
      <protection/>
    </xf>
    <xf numFmtId="10" fontId="17" fillId="39" borderId="0" xfId="0" applyNumberFormat="1" applyFont="1" applyFill="1" applyBorder="1" applyAlignment="1">
      <alignment/>
    </xf>
    <xf numFmtId="10" fontId="26" fillId="39" borderId="0" xfId="0" applyNumberFormat="1" applyFont="1" applyFill="1" applyBorder="1" applyAlignment="1">
      <alignment/>
    </xf>
    <xf numFmtId="200" fontId="35" fillId="0" borderId="0" xfId="0" applyFont="1" applyBorder="1" applyAlignment="1">
      <alignment/>
    </xf>
    <xf numFmtId="200" fontId="97" fillId="0" borderId="0" xfId="0" applyFont="1" applyBorder="1" applyAlignment="1">
      <alignment horizontal="center"/>
    </xf>
    <xf numFmtId="185" fontId="12" fillId="0" borderId="0" xfId="56" applyFont="1" applyFill="1" applyBorder="1" applyAlignment="1" applyProtection="1">
      <alignment/>
      <protection/>
    </xf>
    <xf numFmtId="4" fontId="20" fillId="33" borderId="0" xfId="56" applyNumberFormat="1" applyFont="1" applyFill="1" applyBorder="1" applyAlignment="1" applyProtection="1">
      <alignment/>
      <protection/>
    </xf>
    <xf numFmtId="200" fontId="36" fillId="0" borderId="0" xfId="0" applyFont="1" applyBorder="1" applyAlignment="1">
      <alignment/>
    </xf>
    <xf numFmtId="0" fontId="12" fillId="33" borderId="13" xfId="66" applyFont="1" applyFill="1" applyBorder="1" applyAlignment="1">
      <alignment horizontal="center"/>
      <protection/>
    </xf>
    <xf numFmtId="0" fontId="12" fillId="33" borderId="0" xfId="66" applyFont="1" applyFill="1" applyBorder="1" applyAlignment="1">
      <alignment horizontal="center"/>
      <protection/>
    </xf>
    <xf numFmtId="185" fontId="34" fillId="33" borderId="0" xfId="58" applyFont="1" applyFill="1" applyBorder="1" applyAlignment="1">
      <alignment horizontal="center"/>
    </xf>
    <xf numFmtId="0" fontId="8" fillId="33" borderId="41" xfId="66" applyFill="1" applyBorder="1">
      <alignment/>
      <protection/>
    </xf>
    <xf numFmtId="0" fontId="37" fillId="33" borderId="42" xfId="66" applyFont="1" applyFill="1" applyBorder="1">
      <alignment/>
      <protection/>
    </xf>
    <xf numFmtId="0" fontId="8" fillId="33" borderId="42" xfId="66" applyFill="1" applyBorder="1" applyAlignment="1" applyProtection="1">
      <alignment horizontal="left"/>
      <protection/>
    </xf>
    <xf numFmtId="0" fontId="8" fillId="33" borderId="42" xfId="66" applyFill="1" applyBorder="1">
      <alignment/>
      <protection/>
    </xf>
    <xf numFmtId="4" fontId="8" fillId="33" borderId="42" xfId="66" applyNumberFormat="1" applyFill="1" applyBorder="1">
      <alignment/>
      <protection/>
    </xf>
    <xf numFmtId="22" fontId="33" fillId="33" borderId="43" xfId="66" applyNumberFormat="1" applyFont="1" applyFill="1" applyBorder="1" applyAlignment="1">
      <alignment horizontal="right"/>
      <protection/>
    </xf>
    <xf numFmtId="0" fontId="1" fillId="40" borderId="44" xfId="66" applyFont="1" applyFill="1" applyBorder="1">
      <alignment/>
      <protection/>
    </xf>
    <xf numFmtId="0" fontId="18" fillId="40" borderId="45" xfId="66" applyFont="1" applyFill="1" applyBorder="1">
      <alignment/>
      <protection/>
    </xf>
    <xf numFmtId="0" fontId="19" fillId="40" borderId="45" xfId="66" applyFont="1" applyFill="1" applyBorder="1" applyAlignment="1" applyProtection="1">
      <alignment/>
      <protection/>
    </xf>
    <xf numFmtId="0" fontId="18" fillId="40" borderId="46" xfId="66" applyFont="1" applyFill="1" applyBorder="1">
      <alignment/>
      <protection/>
    </xf>
    <xf numFmtId="0" fontId="16" fillId="40" borderId="45" xfId="66" applyFont="1" applyFill="1" applyBorder="1">
      <alignment/>
      <protection/>
    </xf>
    <xf numFmtId="0" fontId="16" fillId="40" borderId="47" xfId="66" applyFont="1" applyFill="1" applyBorder="1">
      <alignment/>
      <protection/>
    </xf>
    <xf numFmtId="0" fontId="32" fillId="40" borderId="10" xfId="66" applyFont="1" applyFill="1" applyBorder="1">
      <alignment/>
      <protection/>
    </xf>
    <xf numFmtId="0" fontId="38" fillId="40" borderId="11" xfId="66" applyFont="1" applyFill="1" applyBorder="1" applyAlignment="1" applyProtection="1">
      <alignment/>
      <protection/>
    </xf>
    <xf numFmtId="0" fontId="38" fillId="40" borderId="11" xfId="66" applyFont="1" applyFill="1" applyBorder="1">
      <alignment/>
      <protection/>
    </xf>
    <xf numFmtId="0" fontId="38" fillId="40" borderId="30" xfId="66" applyFont="1" applyFill="1" applyBorder="1">
      <alignment/>
      <protection/>
    </xf>
    <xf numFmtId="0" fontId="38" fillId="40" borderId="31" xfId="66" applyFont="1" applyFill="1" applyBorder="1">
      <alignment/>
      <protection/>
    </xf>
    <xf numFmtId="37" fontId="19" fillId="40" borderId="10" xfId="66" applyNumberFormat="1" applyFont="1" applyFill="1" applyBorder="1" applyAlignment="1" applyProtection="1">
      <alignment horizontal="center"/>
      <protection/>
    </xf>
    <xf numFmtId="0" fontId="19" fillId="40" borderId="48" xfId="66" applyFont="1" applyFill="1" applyBorder="1" applyAlignment="1" applyProtection="1">
      <alignment horizontal="center"/>
      <protection/>
    </xf>
    <xf numFmtId="0" fontId="19" fillId="40" borderId="12" xfId="66" applyFont="1" applyFill="1" applyBorder="1" applyAlignment="1" applyProtection="1">
      <alignment horizontal="center"/>
      <protection/>
    </xf>
    <xf numFmtId="0" fontId="39" fillId="40" borderId="49" xfId="66" applyFont="1" applyFill="1" applyBorder="1">
      <alignment/>
      <protection/>
    </xf>
    <xf numFmtId="0" fontId="40" fillId="40" borderId="48" xfId="66" applyFont="1" applyFill="1" applyBorder="1" applyAlignment="1" applyProtection="1">
      <alignment horizontal="center"/>
      <protection/>
    </xf>
    <xf numFmtId="0" fontId="40" fillId="40" borderId="50" xfId="66" applyFont="1" applyFill="1" applyBorder="1" applyAlignment="1" applyProtection="1">
      <alignment horizontal="center"/>
      <protection/>
    </xf>
    <xf numFmtId="0" fontId="40" fillId="40" borderId="51" xfId="66" applyFont="1" applyFill="1" applyBorder="1" applyAlignment="1" applyProtection="1" quotePrefix="1">
      <alignment horizontal="center"/>
      <protection/>
    </xf>
    <xf numFmtId="0" fontId="40" fillId="40" borderId="0" xfId="66" applyFont="1" applyFill="1" applyBorder="1" applyAlignment="1" applyProtection="1">
      <alignment horizontal="center"/>
      <protection/>
    </xf>
    <xf numFmtId="37" fontId="19" fillId="40" borderId="52" xfId="66" applyNumberFormat="1" applyFont="1" applyFill="1" applyBorder="1" applyAlignment="1" applyProtection="1">
      <alignment horizontal="center"/>
      <protection/>
    </xf>
    <xf numFmtId="0" fontId="19" fillId="40" borderId="51" xfId="66" applyFont="1" applyFill="1" applyBorder="1" applyAlignment="1" applyProtection="1">
      <alignment horizontal="center" vertical="justify"/>
      <protection/>
    </xf>
    <xf numFmtId="0" fontId="19" fillId="40" borderId="14" xfId="66" applyFont="1" applyFill="1" applyBorder="1" applyAlignment="1" applyProtection="1">
      <alignment horizontal="center" vertical="justify"/>
      <protection/>
    </xf>
    <xf numFmtId="0" fontId="39" fillId="40" borderId="34" xfId="66" applyFont="1" applyFill="1" applyBorder="1">
      <alignment/>
      <protection/>
    </xf>
    <xf numFmtId="0" fontId="40" fillId="40" borderId="53" xfId="66" applyFont="1" applyFill="1" applyBorder="1" applyAlignment="1" applyProtection="1">
      <alignment horizontal="center"/>
      <protection/>
    </xf>
    <xf numFmtId="0" fontId="40" fillId="40" borderId="54" xfId="66" applyFont="1" applyFill="1" applyBorder="1" applyAlignment="1" applyProtection="1">
      <alignment horizontal="center"/>
      <protection/>
    </xf>
    <xf numFmtId="0" fontId="40" fillId="40" borderId="16" xfId="66" applyFont="1" applyFill="1" applyBorder="1" applyAlignment="1" applyProtection="1">
      <alignment horizontal="center"/>
      <protection/>
    </xf>
    <xf numFmtId="37" fontId="19" fillId="40" borderId="54" xfId="66" applyNumberFormat="1" applyFont="1" applyFill="1" applyBorder="1" applyAlignment="1" applyProtection="1">
      <alignment horizontal="center"/>
      <protection/>
    </xf>
    <xf numFmtId="0" fontId="19" fillId="40" borderId="53" xfId="66" applyFont="1" applyFill="1" applyBorder="1" applyAlignment="1" applyProtection="1">
      <alignment horizontal="center"/>
      <protection/>
    </xf>
    <xf numFmtId="0" fontId="19" fillId="40" borderId="17" xfId="66" applyFont="1" applyFill="1" applyBorder="1" applyAlignment="1" applyProtection="1">
      <alignment horizontal="center"/>
      <protection/>
    </xf>
    <xf numFmtId="0" fontId="32" fillId="33" borderId="10" xfId="66" applyFont="1" applyFill="1" applyBorder="1">
      <alignment/>
      <protection/>
    </xf>
    <xf numFmtId="0" fontId="38" fillId="33" borderId="11" xfId="66" applyFont="1" applyFill="1" applyBorder="1" applyAlignment="1" applyProtection="1">
      <alignment horizontal="center"/>
      <protection/>
    </xf>
    <xf numFmtId="37" fontId="19" fillId="33" borderId="11" xfId="66" applyNumberFormat="1" applyFont="1" applyFill="1" applyBorder="1" applyAlignment="1" applyProtection="1">
      <alignment horizontal="center"/>
      <protection/>
    </xf>
    <xf numFmtId="0" fontId="19" fillId="33" borderId="11" xfId="66" applyFont="1" applyFill="1" applyBorder="1" applyAlignment="1" applyProtection="1">
      <alignment horizontal="center"/>
      <protection/>
    </xf>
    <xf numFmtId="0" fontId="19" fillId="33" borderId="12" xfId="66" applyFont="1" applyFill="1" applyBorder="1" applyAlignment="1" applyProtection="1">
      <alignment horizontal="center"/>
      <protection/>
    </xf>
    <xf numFmtId="0" fontId="8" fillId="33" borderId="21" xfId="66" applyFont="1" applyFill="1" applyBorder="1" applyAlignment="1">
      <alignment horizontal="center"/>
      <protection/>
    </xf>
    <xf numFmtId="0" fontId="10" fillId="33" borderId="22" xfId="66" applyFont="1" applyFill="1" applyBorder="1" applyAlignment="1" applyProtection="1">
      <alignment horizontal="center"/>
      <protection/>
    </xf>
    <xf numFmtId="49" fontId="10" fillId="33" borderId="22" xfId="66" applyNumberFormat="1" applyFont="1" applyFill="1" applyBorder="1" applyAlignment="1" applyProtection="1">
      <alignment horizontal="center"/>
      <protection/>
    </xf>
    <xf numFmtId="49" fontId="10" fillId="33" borderId="22" xfId="66" applyNumberFormat="1" applyFont="1" applyFill="1" applyBorder="1" applyAlignment="1">
      <alignment horizontal="center"/>
      <protection/>
    </xf>
    <xf numFmtId="0" fontId="18" fillId="33" borderId="22" xfId="66" applyFont="1" applyFill="1" applyBorder="1" applyAlignment="1" applyProtection="1">
      <alignment/>
      <protection/>
    </xf>
    <xf numFmtId="4" fontId="22" fillId="33" borderId="22" xfId="59" applyNumberFormat="1" applyFont="1" applyFill="1" applyBorder="1" applyAlignment="1" applyProtection="1">
      <alignment/>
      <protection/>
    </xf>
    <xf numFmtId="4" fontId="22" fillId="33" borderId="22" xfId="66" applyNumberFormat="1" applyFont="1" applyFill="1" applyBorder="1" applyAlignment="1" applyProtection="1">
      <alignment horizontal="center"/>
      <protection/>
    </xf>
    <xf numFmtId="4" fontId="22" fillId="33" borderId="39" xfId="59" applyNumberFormat="1" applyFont="1" applyFill="1" applyBorder="1" applyAlignment="1" applyProtection="1">
      <alignment/>
      <protection/>
    </xf>
    <xf numFmtId="0" fontId="1" fillId="40" borderId="35" xfId="66" applyFont="1" applyFill="1" applyBorder="1" applyAlignment="1">
      <alignment horizontal="center"/>
      <protection/>
    </xf>
    <xf numFmtId="0" fontId="19" fillId="40" borderId="27" xfId="66" applyFont="1" applyFill="1" applyBorder="1" applyAlignment="1" applyProtection="1">
      <alignment horizontal="center"/>
      <protection/>
    </xf>
    <xf numFmtId="49" fontId="19" fillId="40" borderId="27" xfId="66" applyNumberFormat="1" applyFont="1" applyFill="1" applyBorder="1" applyAlignment="1" applyProtection="1">
      <alignment horizontal="center"/>
      <protection/>
    </xf>
    <xf numFmtId="49" fontId="19" fillId="40" borderId="27" xfId="66" applyNumberFormat="1" applyFont="1" applyFill="1" applyBorder="1" applyAlignment="1">
      <alignment horizontal="center"/>
      <protection/>
    </xf>
    <xf numFmtId="0" fontId="20" fillId="40" borderId="27" xfId="66" applyFont="1" applyFill="1" applyBorder="1" applyAlignment="1" applyProtection="1">
      <alignment/>
      <protection/>
    </xf>
    <xf numFmtId="4" fontId="24" fillId="40" borderId="22" xfId="59" applyNumberFormat="1" applyFont="1" applyFill="1" applyBorder="1" applyAlignment="1" applyProtection="1">
      <alignment/>
      <protection/>
    </xf>
    <xf numFmtId="4" fontId="24" fillId="40" borderId="39" xfId="59" applyNumberFormat="1" applyFont="1" applyFill="1" applyBorder="1" applyAlignment="1" applyProtection="1">
      <alignment/>
      <protection/>
    </xf>
    <xf numFmtId="200" fontId="8" fillId="33" borderId="21" xfId="0" applyFont="1" applyFill="1" applyBorder="1" applyAlignment="1">
      <alignment/>
    </xf>
    <xf numFmtId="200" fontId="10" fillId="33" borderId="22" xfId="0" applyFont="1" applyFill="1" applyBorder="1" applyAlignment="1" applyProtection="1">
      <alignment/>
      <protection/>
    </xf>
    <xf numFmtId="49" fontId="10" fillId="33" borderId="22" xfId="0" applyNumberFormat="1" applyFont="1" applyFill="1" applyBorder="1" applyAlignment="1" applyProtection="1">
      <alignment/>
      <protection/>
    </xf>
    <xf numFmtId="49" fontId="10" fillId="33" borderId="22" xfId="0" applyNumberFormat="1" applyFont="1" applyFill="1" applyBorder="1" applyAlignment="1" applyProtection="1">
      <alignment horizontal="right"/>
      <protection/>
    </xf>
    <xf numFmtId="49" fontId="10" fillId="33" borderId="22" xfId="0" applyNumberFormat="1" applyFont="1" applyFill="1" applyBorder="1" applyAlignment="1">
      <alignment horizontal="right"/>
    </xf>
    <xf numFmtId="49" fontId="10" fillId="33" borderId="22" xfId="0" applyNumberFormat="1" applyFont="1" applyFill="1" applyBorder="1" applyAlignment="1" applyProtection="1">
      <alignment/>
      <protection/>
    </xf>
    <xf numFmtId="200" fontId="33" fillId="33" borderId="22" xfId="0" applyFont="1" applyFill="1" applyBorder="1" applyAlignment="1" applyProtection="1">
      <alignment horizontal="justify"/>
      <protection/>
    </xf>
    <xf numFmtId="4" fontId="23" fillId="33" borderId="22" xfId="59" applyNumberFormat="1" applyFont="1" applyFill="1" applyBorder="1" applyAlignment="1" applyProtection="1">
      <alignment vertical="center" wrapText="1"/>
      <protection/>
    </xf>
    <xf numFmtId="4" fontId="22" fillId="33" borderId="39" xfId="59" applyNumberFormat="1" applyFont="1" applyFill="1" applyBorder="1" applyAlignment="1" applyProtection="1">
      <alignment vertical="center" wrapText="1"/>
      <protection/>
    </xf>
    <xf numFmtId="4" fontId="22" fillId="33" borderId="22" xfId="66" applyNumberFormat="1" applyFont="1" applyFill="1" applyBorder="1" applyAlignment="1" applyProtection="1">
      <alignment vertical="center" wrapText="1"/>
      <protection/>
    </xf>
    <xf numFmtId="200" fontId="8" fillId="33" borderId="22" xfId="0" applyFont="1" applyFill="1" applyBorder="1" applyAlignment="1" applyProtection="1">
      <alignment/>
      <protection/>
    </xf>
    <xf numFmtId="49" fontId="8" fillId="33" borderId="22" xfId="0" applyNumberFormat="1" applyFont="1" applyFill="1" applyBorder="1" applyAlignment="1" applyProtection="1">
      <alignment/>
      <protection/>
    </xf>
    <xf numFmtId="49" fontId="8" fillId="33" borderId="22" xfId="0" applyNumberFormat="1" applyFont="1" applyFill="1" applyBorder="1" applyAlignment="1" applyProtection="1">
      <alignment horizontal="right"/>
      <protection/>
    </xf>
    <xf numFmtId="49" fontId="8" fillId="33" borderId="22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 applyProtection="1">
      <alignment/>
      <protection/>
    </xf>
    <xf numFmtId="0" fontId="13" fillId="41" borderId="21" xfId="66" applyFont="1" applyFill="1" applyBorder="1" applyAlignment="1">
      <alignment horizontal="center"/>
      <protection/>
    </xf>
    <xf numFmtId="0" fontId="18" fillId="41" borderId="22" xfId="66" applyFont="1" applyFill="1" applyBorder="1" applyAlignment="1" applyProtection="1">
      <alignment horizontal="center"/>
      <protection/>
    </xf>
    <xf numFmtId="49" fontId="18" fillId="41" borderId="22" xfId="66" applyNumberFormat="1" applyFont="1" applyFill="1" applyBorder="1" applyAlignment="1" applyProtection="1">
      <alignment horizontal="center"/>
      <protection/>
    </xf>
    <xf numFmtId="49" fontId="18" fillId="41" borderId="22" xfId="66" applyNumberFormat="1" applyFont="1" applyFill="1" applyBorder="1" applyAlignment="1">
      <alignment horizontal="center"/>
      <protection/>
    </xf>
    <xf numFmtId="0" fontId="18" fillId="41" borderId="22" xfId="66" applyFont="1" applyFill="1" applyBorder="1" applyAlignment="1" applyProtection="1">
      <alignment/>
      <protection/>
    </xf>
    <xf numFmtId="4" fontId="24" fillId="41" borderId="22" xfId="59" applyNumberFormat="1" applyFont="1" applyFill="1" applyBorder="1" applyAlignment="1" applyProtection="1">
      <alignment/>
      <protection/>
    </xf>
    <xf numFmtId="200" fontId="0" fillId="0" borderId="0" xfId="0" applyFont="1" applyAlignment="1">
      <alignment/>
    </xf>
    <xf numFmtId="4" fontId="22" fillId="33" borderId="55" xfId="66" applyNumberFormat="1" applyFont="1" applyFill="1" applyBorder="1" applyAlignment="1" applyProtection="1">
      <alignment horizontal="center"/>
      <protection/>
    </xf>
    <xf numFmtId="4" fontId="24" fillId="40" borderId="55" xfId="59" applyNumberFormat="1" applyFont="1" applyFill="1" applyBorder="1" applyAlignment="1" applyProtection="1">
      <alignment/>
      <protection/>
    </xf>
    <xf numFmtId="17" fontId="19" fillId="40" borderId="14" xfId="66" applyNumberFormat="1" applyFont="1" applyFill="1" applyBorder="1" applyAlignment="1" applyProtection="1">
      <alignment horizontal="center" vertical="justify"/>
      <protection/>
    </xf>
    <xf numFmtId="4" fontId="24" fillId="41" borderId="39" xfId="59" applyNumberFormat="1" applyFont="1" applyFill="1" applyBorder="1" applyAlignment="1" applyProtection="1">
      <alignment/>
      <protection/>
    </xf>
    <xf numFmtId="200" fontId="0" fillId="36" borderId="15" xfId="0" applyFill="1" applyBorder="1" applyAlignment="1">
      <alignment/>
    </xf>
    <xf numFmtId="200" fontId="0" fillId="36" borderId="16" xfId="0" applyFill="1" applyBorder="1" applyAlignment="1">
      <alignment/>
    </xf>
    <xf numFmtId="200" fontId="0" fillId="36" borderId="17" xfId="0" applyFill="1" applyBorder="1" applyAlignment="1">
      <alignment/>
    </xf>
    <xf numFmtId="200" fontId="1" fillId="0" borderId="56" xfId="0" applyFont="1" applyBorder="1" applyAlignment="1">
      <alignment horizontal="center"/>
    </xf>
    <xf numFmtId="200" fontId="23" fillId="0" borderId="18" xfId="0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207" fontId="23" fillId="0" borderId="57" xfId="0" applyNumberFormat="1" applyFont="1" applyBorder="1" applyAlignment="1">
      <alignment horizontal="center"/>
    </xf>
    <xf numFmtId="200" fontId="23" fillId="0" borderId="21" xfId="0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207" fontId="23" fillId="0" borderId="58" xfId="0" applyNumberFormat="1" applyFont="1" applyBorder="1" applyAlignment="1">
      <alignment horizontal="center"/>
    </xf>
    <xf numFmtId="200" fontId="23" fillId="0" borderId="25" xfId="0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207" fontId="23" fillId="0" borderId="60" xfId="0" applyNumberFormat="1" applyFont="1" applyBorder="1" applyAlignment="1">
      <alignment horizontal="center"/>
    </xf>
    <xf numFmtId="200" fontId="27" fillId="0" borderId="56" xfId="0" applyFont="1" applyBorder="1" applyAlignment="1">
      <alignment/>
    </xf>
    <xf numFmtId="3" fontId="27" fillId="0" borderId="56" xfId="0" applyNumberFormat="1" applyFont="1" applyBorder="1" applyAlignment="1">
      <alignment/>
    </xf>
    <xf numFmtId="207" fontId="27" fillId="0" borderId="56" xfId="0" applyNumberFormat="1" applyFont="1" applyBorder="1" applyAlignment="1">
      <alignment horizontal="center"/>
    </xf>
    <xf numFmtId="200" fontId="23" fillId="0" borderId="32" xfId="0" applyFont="1" applyBorder="1" applyAlignment="1">
      <alignment/>
    </xf>
    <xf numFmtId="3" fontId="23" fillId="0" borderId="33" xfId="0" applyNumberFormat="1" applyFont="1" applyBorder="1" applyAlignment="1">
      <alignment/>
    </xf>
    <xf numFmtId="207" fontId="23" fillId="0" borderId="51" xfId="0" applyNumberFormat="1" applyFont="1" applyBorder="1" applyAlignment="1">
      <alignment horizontal="center"/>
    </xf>
    <xf numFmtId="200" fontId="20" fillId="42" borderId="26" xfId="0" applyFont="1" applyFill="1" applyBorder="1" applyAlignment="1" applyProtection="1">
      <alignment horizontal="center" vertical="center" wrapText="1"/>
      <protection/>
    </xf>
    <xf numFmtId="185" fontId="16" fillId="42" borderId="26" xfId="56" applyFont="1" applyFill="1" applyBorder="1" applyAlignment="1" applyProtection="1">
      <alignment/>
      <protection/>
    </xf>
    <xf numFmtId="185" fontId="16" fillId="42" borderId="61" xfId="56" applyFont="1" applyFill="1" applyBorder="1" applyAlignment="1" applyProtection="1">
      <alignment/>
      <protection locked="0"/>
    </xf>
    <xf numFmtId="185" fontId="13" fillId="42" borderId="62" xfId="56" applyFont="1" applyFill="1" applyBorder="1" applyAlignment="1" applyProtection="1">
      <alignment horizontal="center" vertical="center" wrapText="1"/>
      <protection/>
    </xf>
    <xf numFmtId="200" fontId="22" fillId="43" borderId="22" xfId="0" applyFont="1" applyFill="1" applyBorder="1" applyAlignment="1" applyProtection="1">
      <alignment horizontal="justify" vertical="center" wrapText="1"/>
      <protection/>
    </xf>
    <xf numFmtId="185" fontId="17" fillId="43" borderId="22" xfId="56" applyFont="1" applyFill="1" applyBorder="1" applyAlignment="1" applyProtection="1">
      <alignment horizontal="justify" vertical="center"/>
      <protection/>
    </xf>
    <xf numFmtId="39" fontId="16" fillId="43" borderId="22" xfId="56" applyNumberFormat="1" applyFont="1" applyFill="1" applyBorder="1" applyAlignment="1" applyProtection="1">
      <alignment horizontal="justify" vertical="center"/>
      <protection locked="0"/>
    </xf>
    <xf numFmtId="4" fontId="17" fillId="43" borderId="24" xfId="56" applyNumberFormat="1" applyFont="1" applyFill="1" applyBorder="1" applyAlignment="1" applyProtection="1">
      <alignment horizontal="justify" vertical="center"/>
      <protection/>
    </xf>
    <xf numFmtId="39" fontId="17" fillId="43" borderId="22" xfId="56" applyNumberFormat="1" applyFont="1" applyFill="1" applyBorder="1" applyAlignment="1" applyProtection="1">
      <alignment horizontal="justify" vertical="center"/>
      <protection locked="0"/>
    </xf>
    <xf numFmtId="39" fontId="17" fillId="43" borderId="24" xfId="56" applyNumberFormat="1" applyFont="1" applyFill="1" applyBorder="1" applyAlignment="1" applyProtection="1">
      <alignment horizontal="justify" vertical="center"/>
      <protection locked="0"/>
    </xf>
    <xf numFmtId="39" fontId="16" fillId="43" borderId="24" xfId="56" applyNumberFormat="1" applyFont="1" applyFill="1" applyBorder="1" applyAlignment="1" applyProtection="1">
      <alignment horizontal="justify" vertical="center"/>
      <protection locked="0"/>
    </xf>
    <xf numFmtId="4" fontId="17" fillId="43" borderId="22" xfId="56" applyNumberFormat="1" applyFont="1" applyFill="1" applyBorder="1" applyAlignment="1" applyProtection="1">
      <alignment horizontal="justify" vertical="center"/>
      <protection locked="0"/>
    </xf>
    <xf numFmtId="4" fontId="17" fillId="43" borderId="24" xfId="56" applyNumberFormat="1" applyFont="1" applyFill="1" applyBorder="1" applyAlignment="1" applyProtection="1">
      <alignment horizontal="justify" vertical="center"/>
      <protection locked="0"/>
    </xf>
    <xf numFmtId="4" fontId="16" fillId="43" borderId="22" xfId="56" applyNumberFormat="1" applyFont="1" applyFill="1" applyBorder="1" applyAlignment="1" applyProtection="1">
      <alignment horizontal="justify" vertical="center"/>
      <protection locked="0"/>
    </xf>
    <xf numFmtId="4" fontId="16" fillId="43" borderId="24" xfId="56" applyNumberFormat="1" applyFont="1" applyFill="1" applyBorder="1" applyAlignment="1" applyProtection="1">
      <alignment horizontal="justify" vertical="center"/>
      <protection locked="0"/>
    </xf>
    <xf numFmtId="185" fontId="16" fillId="43" borderId="22" xfId="56" applyFont="1" applyFill="1" applyBorder="1" applyAlignment="1" applyProtection="1">
      <alignment horizontal="justify" vertical="center"/>
      <protection/>
    </xf>
    <xf numFmtId="4" fontId="16" fillId="43" borderId="22" xfId="56" applyNumberFormat="1" applyFont="1" applyFill="1" applyBorder="1" applyAlignment="1" applyProtection="1">
      <alignment horizontal="justify" vertical="center"/>
      <protection/>
    </xf>
    <xf numFmtId="4" fontId="16" fillId="43" borderId="24" xfId="56" applyNumberFormat="1" applyFont="1" applyFill="1" applyBorder="1" applyAlignment="1" applyProtection="1">
      <alignment horizontal="justify" vertical="center"/>
      <protection/>
    </xf>
    <xf numFmtId="200" fontId="24" fillId="44" borderId="22" xfId="0" applyFont="1" applyFill="1" applyBorder="1" applyAlignment="1" applyProtection="1">
      <alignment horizontal="justify" vertical="center" wrapText="1"/>
      <protection/>
    </xf>
    <xf numFmtId="4" fontId="13" fillId="44" borderId="22" xfId="56" applyNumberFormat="1" applyFont="1" applyFill="1" applyBorder="1" applyAlignment="1" applyProtection="1">
      <alignment horizontal="justify" vertical="center"/>
      <protection/>
    </xf>
    <xf numFmtId="39" fontId="16" fillId="35" borderId="63" xfId="56" applyNumberFormat="1" applyFont="1" applyFill="1" applyBorder="1" applyAlignment="1" applyProtection="1">
      <alignment horizontal="right" vertical="center"/>
      <protection locked="0"/>
    </xf>
    <xf numFmtId="4" fontId="17" fillId="35" borderId="22" xfId="56" applyNumberFormat="1" applyFont="1" applyFill="1" applyBorder="1" applyAlignment="1" applyProtection="1">
      <alignment horizontal="right" vertical="center"/>
      <protection locked="0"/>
    </xf>
    <xf numFmtId="39" fontId="16" fillId="35" borderId="22" xfId="56" applyNumberFormat="1" applyFont="1" applyFill="1" applyBorder="1" applyAlignment="1" applyProtection="1">
      <alignment horizontal="right" vertical="center"/>
      <protection locked="0"/>
    </xf>
    <xf numFmtId="39" fontId="95" fillId="33" borderId="39" xfId="56" applyNumberFormat="1" applyFont="1" applyFill="1" applyBorder="1" applyAlignment="1" applyProtection="1">
      <alignment horizontal="right" vertical="center" wrapText="1"/>
      <protection/>
    </xf>
    <xf numFmtId="4" fontId="17" fillId="35" borderId="63" xfId="56" applyNumberFormat="1" applyFont="1" applyFill="1" applyBorder="1" applyAlignment="1" applyProtection="1">
      <alignment horizontal="right" vertical="center"/>
      <protection locked="0"/>
    </xf>
    <xf numFmtId="39" fontId="17" fillId="35" borderId="22" xfId="56" applyNumberFormat="1" applyFont="1" applyFill="1" applyBorder="1" applyAlignment="1" applyProtection="1">
      <alignment horizontal="right" vertical="center"/>
      <protection locked="0"/>
    </xf>
    <xf numFmtId="39" fontId="17" fillId="35" borderId="63" xfId="56" applyNumberFormat="1" applyFont="1" applyFill="1" applyBorder="1" applyAlignment="1" applyProtection="1">
      <alignment horizontal="right" vertical="center"/>
      <protection locked="0"/>
    </xf>
    <xf numFmtId="185" fontId="17" fillId="35" borderId="22" xfId="56" applyFont="1" applyFill="1" applyBorder="1" applyAlignment="1" applyProtection="1">
      <alignment horizontal="right" vertical="center"/>
      <protection locked="0"/>
    </xf>
    <xf numFmtId="39" fontId="16" fillId="35" borderId="22" xfId="56" applyNumberFormat="1" applyFont="1" applyFill="1" applyBorder="1" applyAlignment="1" applyProtection="1">
      <alignment horizontal="right" vertical="center"/>
      <protection/>
    </xf>
    <xf numFmtId="4" fontId="16" fillId="35" borderId="63" xfId="56" applyNumberFormat="1" applyFont="1" applyFill="1" applyBorder="1" applyAlignment="1" applyProtection="1">
      <alignment horizontal="right" vertical="center"/>
      <protection/>
    </xf>
    <xf numFmtId="4" fontId="16" fillId="35" borderId="22" xfId="56" applyNumberFormat="1" applyFont="1" applyFill="1" applyBorder="1" applyAlignment="1" applyProtection="1">
      <alignment horizontal="right" vertical="center"/>
      <protection/>
    </xf>
    <xf numFmtId="4" fontId="18" fillId="33" borderId="63" xfId="56" applyNumberFormat="1" applyFont="1" applyFill="1" applyBorder="1" applyAlignment="1" applyProtection="1">
      <alignment horizontal="right" vertical="center"/>
      <protection/>
    </xf>
    <xf numFmtId="4" fontId="18" fillId="33" borderId="22" xfId="56" applyNumberFormat="1" applyFont="1" applyFill="1" applyBorder="1" applyAlignment="1" applyProtection="1">
      <alignment horizontal="right" vertical="center"/>
      <protection/>
    </xf>
    <xf numFmtId="4" fontId="94" fillId="33" borderId="22" xfId="56" applyNumberFormat="1" applyFont="1" applyFill="1" applyBorder="1" applyAlignment="1" applyProtection="1">
      <alignment horizontal="right" vertical="center"/>
      <protection/>
    </xf>
    <xf numFmtId="4" fontId="17" fillId="43" borderId="24" xfId="56" applyNumberFormat="1" applyFont="1" applyFill="1" applyBorder="1" applyAlignment="1" applyProtection="1">
      <alignment vertical="center"/>
      <protection/>
    </xf>
    <xf numFmtId="4" fontId="13" fillId="44" borderId="22" xfId="56" applyNumberFormat="1" applyFont="1" applyFill="1" applyBorder="1" applyAlignment="1" applyProtection="1">
      <alignment vertical="center"/>
      <protection/>
    </xf>
    <xf numFmtId="200" fontId="98" fillId="43" borderId="27" xfId="0" applyFont="1" applyFill="1" applyBorder="1" applyAlignment="1">
      <alignment horizontal="center"/>
    </xf>
    <xf numFmtId="200" fontId="98" fillId="43" borderId="27" xfId="0" applyFont="1" applyFill="1" applyBorder="1" applyAlignment="1">
      <alignment horizontal="center" vertical="center" wrapText="1"/>
    </xf>
    <xf numFmtId="200" fontId="98" fillId="43" borderId="22" xfId="0" applyFont="1" applyFill="1" applyBorder="1" applyAlignment="1">
      <alignment horizontal="center" vertical="center"/>
    </xf>
    <xf numFmtId="200" fontId="98" fillId="43" borderId="24" xfId="0" applyFont="1" applyFill="1" applyBorder="1" applyAlignment="1">
      <alignment/>
    </xf>
    <xf numFmtId="200" fontId="98" fillId="43" borderId="22" xfId="0" applyFont="1" applyFill="1" applyBorder="1" applyAlignment="1">
      <alignment horizontal="center"/>
    </xf>
    <xf numFmtId="13" fontId="98" fillId="43" borderId="22" xfId="0" applyNumberFormat="1" applyFont="1" applyFill="1" applyBorder="1" applyAlignment="1">
      <alignment horizontal="center"/>
    </xf>
    <xf numFmtId="200" fontId="99" fillId="40" borderId="27" xfId="0" applyFont="1" applyFill="1" applyBorder="1" applyAlignment="1">
      <alignment horizontal="center"/>
    </xf>
    <xf numFmtId="200" fontId="99" fillId="40" borderId="27" xfId="0" applyFont="1" applyFill="1" applyBorder="1" applyAlignment="1">
      <alignment/>
    </xf>
    <xf numFmtId="200" fontId="99" fillId="43" borderId="27" xfId="0" applyFont="1" applyFill="1" applyBorder="1" applyAlignment="1">
      <alignment/>
    </xf>
    <xf numFmtId="4" fontId="99" fillId="43" borderId="27" xfId="0" applyNumberFormat="1" applyFont="1" applyFill="1" applyBorder="1" applyAlignment="1">
      <alignment/>
    </xf>
    <xf numFmtId="4" fontId="70" fillId="43" borderId="27" xfId="0" applyNumberFormat="1" applyFont="1" applyFill="1" applyBorder="1" applyAlignment="1">
      <alignment/>
    </xf>
    <xf numFmtId="200" fontId="99" fillId="43" borderId="64" xfId="0" applyFont="1" applyFill="1" applyBorder="1" applyAlignment="1">
      <alignment/>
    </xf>
    <xf numFmtId="4" fontId="99" fillId="43" borderId="64" xfId="0" applyNumberFormat="1" applyFont="1" applyFill="1" applyBorder="1" applyAlignment="1">
      <alignment/>
    </xf>
    <xf numFmtId="200" fontId="99" fillId="43" borderId="24" xfId="0" applyFont="1" applyFill="1" applyBorder="1" applyAlignment="1">
      <alignment/>
    </xf>
    <xf numFmtId="4" fontId="99" fillId="43" borderId="24" xfId="0" applyNumberFormat="1" applyFont="1" applyFill="1" applyBorder="1" applyAlignment="1">
      <alignment/>
    </xf>
    <xf numFmtId="200" fontId="98" fillId="44" borderId="22" xfId="0" applyFont="1" applyFill="1" applyBorder="1" applyAlignment="1">
      <alignment horizontal="center"/>
    </xf>
    <xf numFmtId="4" fontId="98" fillId="44" borderId="22" xfId="0" applyNumberFormat="1" applyFont="1" applyFill="1" applyBorder="1" applyAlignment="1">
      <alignment/>
    </xf>
    <xf numFmtId="200" fontId="98" fillId="41" borderId="64" xfId="0" applyFont="1" applyFill="1" applyBorder="1" applyAlignment="1">
      <alignment horizontal="center"/>
    </xf>
    <xf numFmtId="4" fontId="98" fillId="41" borderId="64" xfId="0" applyNumberFormat="1" applyFont="1" applyFill="1" applyBorder="1" applyAlignment="1">
      <alignment/>
    </xf>
    <xf numFmtId="4" fontId="71" fillId="41" borderId="64" xfId="0" applyNumberFormat="1" applyFont="1" applyFill="1" applyBorder="1" applyAlignment="1">
      <alignment/>
    </xf>
    <xf numFmtId="200" fontId="98" fillId="40" borderId="22" xfId="0" applyFont="1" applyFill="1" applyBorder="1" applyAlignment="1">
      <alignment horizontal="center"/>
    </xf>
    <xf numFmtId="4" fontId="98" fillId="40" borderId="22" xfId="56" applyNumberFormat="1" applyFont="1" applyFill="1" applyBorder="1" applyAlignment="1">
      <alignment/>
    </xf>
    <xf numFmtId="207" fontId="99" fillId="43" borderId="27" xfId="0" applyNumberFormat="1" applyFont="1" applyFill="1" applyBorder="1" applyAlignment="1">
      <alignment horizontal="center"/>
    </xf>
    <xf numFmtId="207" fontId="99" fillId="43" borderId="64" xfId="0" applyNumberFormat="1" applyFont="1" applyFill="1" applyBorder="1" applyAlignment="1">
      <alignment horizontal="center"/>
    </xf>
    <xf numFmtId="207" fontId="99" fillId="43" borderId="24" xfId="0" applyNumberFormat="1" applyFont="1" applyFill="1" applyBorder="1" applyAlignment="1">
      <alignment horizontal="center"/>
    </xf>
    <xf numFmtId="207" fontId="98" fillId="44" borderId="22" xfId="0" applyNumberFormat="1" applyFont="1" applyFill="1" applyBorder="1" applyAlignment="1">
      <alignment horizontal="center"/>
    </xf>
    <xf numFmtId="207" fontId="98" fillId="41" borderId="64" xfId="0" applyNumberFormat="1" applyFont="1" applyFill="1" applyBorder="1" applyAlignment="1">
      <alignment horizontal="center"/>
    </xf>
    <xf numFmtId="207" fontId="98" fillId="40" borderId="22" xfId="0" applyNumberFormat="1" applyFont="1" applyFill="1" applyBorder="1" applyAlignment="1">
      <alignment horizontal="center"/>
    </xf>
    <xf numFmtId="205" fontId="0" fillId="0" borderId="0" xfId="0" applyNumberFormat="1" applyAlignment="1">
      <alignment/>
    </xf>
    <xf numFmtId="4" fontId="70" fillId="43" borderId="64" xfId="0" applyNumberFormat="1" applyFont="1" applyFill="1" applyBorder="1" applyAlignment="1">
      <alignment/>
    </xf>
    <xf numFmtId="4" fontId="70" fillId="43" borderId="24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" fontId="71" fillId="40" borderId="22" xfId="56" applyNumberFormat="1" applyFont="1" applyFill="1" applyBorder="1" applyAlignment="1">
      <alignment/>
    </xf>
    <xf numFmtId="3" fontId="98" fillId="40" borderId="22" xfId="56" applyNumberFormat="1" applyFont="1" applyFill="1" applyBorder="1" applyAlignment="1">
      <alignment/>
    </xf>
    <xf numFmtId="3" fontId="71" fillId="40" borderId="22" xfId="56" applyNumberFormat="1" applyFont="1" applyFill="1" applyBorder="1" applyAlignment="1">
      <alignment/>
    </xf>
    <xf numFmtId="3" fontId="98" fillId="44" borderId="22" xfId="0" applyNumberFormat="1" applyFont="1" applyFill="1" applyBorder="1" applyAlignment="1">
      <alignment/>
    </xf>
    <xf numFmtId="3" fontId="98" fillId="41" borderId="64" xfId="0" applyNumberFormat="1" applyFont="1" applyFill="1" applyBorder="1" applyAlignment="1">
      <alignment/>
    </xf>
    <xf numFmtId="3" fontId="99" fillId="39" borderId="65" xfId="0" applyNumberFormat="1" applyFont="1" applyFill="1" applyBorder="1" applyAlignment="1">
      <alignment/>
    </xf>
    <xf numFmtId="207" fontId="99" fillId="39" borderId="65" xfId="0" applyNumberFormat="1" applyFont="1" applyFill="1" applyBorder="1" applyAlignment="1">
      <alignment horizontal="center"/>
    </xf>
    <xf numFmtId="3" fontId="99" fillId="39" borderId="66" xfId="0" applyNumberFormat="1" applyFont="1" applyFill="1" applyBorder="1" applyAlignment="1">
      <alignment/>
    </xf>
    <xf numFmtId="207" fontId="99" fillId="39" borderId="66" xfId="0" applyNumberFormat="1" applyFont="1" applyFill="1" applyBorder="1" applyAlignment="1">
      <alignment horizontal="center"/>
    </xf>
    <xf numFmtId="200" fontId="0" fillId="39" borderId="0" xfId="0" applyFill="1" applyAlignment="1">
      <alignment/>
    </xf>
    <xf numFmtId="207" fontId="70" fillId="39" borderId="65" xfId="0" applyNumberFormat="1" applyFont="1" applyFill="1" applyBorder="1" applyAlignment="1">
      <alignment horizontal="center"/>
    </xf>
    <xf numFmtId="207" fontId="70" fillId="39" borderId="66" xfId="0" applyNumberFormat="1" applyFont="1" applyFill="1" applyBorder="1" applyAlignment="1">
      <alignment horizontal="center"/>
    </xf>
    <xf numFmtId="207" fontId="71" fillId="44" borderId="22" xfId="0" applyNumberFormat="1" applyFont="1" applyFill="1" applyBorder="1" applyAlignment="1">
      <alignment horizontal="center"/>
    </xf>
    <xf numFmtId="207" fontId="71" fillId="41" borderId="64" xfId="0" applyNumberFormat="1" applyFont="1" applyFill="1" applyBorder="1" applyAlignment="1">
      <alignment horizontal="center"/>
    </xf>
    <xf numFmtId="200" fontId="98" fillId="40" borderId="27" xfId="0" applyFont="1" applyFill="1" applyBorder="1" applyAlignment="1">
      <alignment horizontal="center" vertical="center" wrapText="1"/>
    </xf>
    <xf numFmtId="200" fontId="98" fillId="39" borderId="67" xfId="0" applyFont="1" applyFill="1" applyBorder="1" applyAlignment="1">
      <alignment horizontal="center"/>
    </xf>
    <xf numFmtId="0" fontId="12" fillId="39" borderId="13" xfId="66" applyFont="1" applyFill="1" applyBorder="1" applyAlignment="1">
      <alignment horizontal="center"/>
      <protection/>
    </xf>
    <xf numFmtId="0" fontId="12" fillId="39" borderId="14" xfId="66" applyFont="1" applyFill="1" applyBorder="1" applyAlignment="1">
      <alignment horizontal="center"/>
      <protection/>
    </xf>
    <xf numFmtId="200" fontId="98" fillId="40" borderId="27" xfId="0" applyFont="1" applyFill="1" applyBorder="1" applyAlignment="1">
      <alignment horizontal="center" vertical="justify"/>
    </xf>
    <xf numFmtId="200" fontId="98" fillId="40" borderId="27" xfId="0" applyFont="1" applyFill="1" applyBorder="1" applyAlignment="1">
      <alignment horizontal="center" vertical="center"/>
    </xf>
    <xf numFmtId="200" fontId="98" fillId="40" borderId="22" xfId="0" applyFont="1" applyFill="1" applyBorder="1" applyAlignment="1">
      <alignment horizontal="center" vertical="center" wrapText="1"/>
    </xf>
    <xf numFmtId="200" fontId="99" fillId="39" borderId="65" xfId="0" applyFont="1" applyFill="1" applyBorder="1" applyAlignment="1">
      <alignment horizontal="left"/>
    </xf>
    <xf numFmtId="3" fontId="99" fillId="39" borderId="65" xfId="56" applyNumberFormat="1" applyFont="1" applyFill="1" applyBorder="1" applyAlignment="1">
      <alignment/>
    </xf>
    <xf numFmtId="200" fontId="99" fillId="39" borderId="66" xfId="0" applyFont="1" applyFill="1" applyBorder="1" applyAlignment="1">
      <alignment horizontal="left"/>
    </xf>
    <xf numFmtId="3" fontId="99" fillId="39" borderId="66" xfId="56" applyNumberFormat="1" applyFont="1" applyFill="1" applyBorder="1" applyAlignment="1">
      <alignment/>
    </xf>
    <xf numFmtId="3" fontId="98" fillId="44" borderId="22" xfId="56" applyNumberFormat="1" applyFont="1" applyFill="1" applyBorder="1" applyAlignment="1">
      <alignment/>
    </xf>
    <xf numFmtId="3" fontId="71" fillId="41" borderId="64" xfId="56" applyNumberFormat="1" applyFont="1" applyFill="1" applyBorder="1" applyAlignment="1">
      <alignment/>
    </xf>
    <xf numFmtId="3" fontId="98" fillId="41" borderId="64" xfId="56" applyNumberFormat="1" applyFont="1" applyFill="1" applyBorder="1" applyAlignment="1">
      <alignment/>
    </xf>
    <xf numFmtId="207" fontId="98" fillId="40" borderId="22" xfId="56" applyNumberFormat="1" applyFont="1" applyFill="1" applyBorder="1" applyAlignment="1">
      <alignment horizontal="center"/>
    </xf>
    <xf numFmtId="207" fontId="71" fillId="40" borderId="22" xfId="0" applyNumberFormat="1" applyFont="1" applyFill="1" applyBorder="1" applyAlignment="1">
      <alignment horizontal="center"/>
    </xf>
    <xf numFmtId="0" fontId="8" fillId="39" borderId="0" xfId="66" applyFill="1">
      <alignment/>
      <protection/>
    </xf>
    <xf numFmtId="0" fontId="41" fillId="39" borderId="0" xfId="66" applyFont="1" applyFill="1">
      <alignment/>
      <protection/>
    </xf>
    <xf numFmtId="0" fontId="12" fillId="39" borderId="0" xfId="66" applyFont="1" applyFill="1" applyAlignment="1">
      <alignment horizontal="center"/>
      <protection/>
    </xf>
    <xf numFmtId="4" fontId="12" fillId="39" borderId="0" xfId="66" applyNumberFormat="1" applyFont="1" applyFill="1" applyAlignment="1">
      <alignment horizontal="center"/>
      <protection/>
    </xf>
    <xf numFmtId="185" fontId="34" fillId="39" borderId="0" xfId="58" applyFont="1" applyFill="1" applyBorder="1" applyAlignment="1">
      <alignment horizontal="center"/>
    </xf>
    <xf numFmtId="185" fontId="12" fillId="39" borderId="0" xfId="66" applyNumberFormat="1" applyFont="1" applyFill="1" applyAlignment="1">
      <alignment horizontal="center"/>
      <protection/>
    </xf>
    <xf numFmtId="0" fontId="42" fillId="39" borderId="0" xfId="66" applyFont="1" applyFill="1" applyAlignment="1">
      <alignment horizontal="center"/>
      <protection/>
    </xf>
    <xf numFmtId="4" fontId="34" fillId="39" borderId="0" xfId="66" applyNumberFormat="1" applyFont="1" applyFill="1" applyAlignment="1">
      <alignment horizontal="center"/>
      <protection/>
    </xf>
    <xf numFmtId="4" fontId="23" fillId="39" borderId="0" xfId="59" applyNumberFormat="1" applyFont="1" applyFill="1" applyBorder="1" applyAlignment="1" applyProtection="1">
      <alignment vertical="center" wrapText="1"/>
      <protection/>
    </xf>
    <xf numFmtId="22" fontId="12" fillId="39" borderId="0" xfId="66" applyNumberFormat="1" applyFont="1" applyFill="1" applyAlignment="1">
      <alignment horizontal="right"/>
      <protection/>
    </xf>
    <xf numFmtId="0" fontId="8" fillId="39" borderId="13" xfId="66" applyFill="1" applyBorder="1">
      <alignment/>
      <protection/>
    </xf>
    <xf numFmtId="0" fontId="8" fillId="39" borderId="0" xfId="66" applyFill="1" applyAlignment="1">
      <alignment horizontal="left"/>
      <protection/>
    </xf>
    <xf numFmtId="4" fontId="8" fillId="39" borderId="0" xfId="66" applyNumberFormat="1" applyFill="1">
      <alignment/>
      <protection/>
    </xf>
    <xf numFmtId="4" fontId="22" fillId="39" borderId="0" xfId="59" applyNumberFormat="1" applyFont="1" applyFill="1" applyBorder="1" applyAlignment="1" applyProtection="1">
      <alignment/>
      <protection/>
    </xf>
    <xf numFmtId="22" fontId="33" fillId="39" borderId="14" xfId="66" applyNumberFormat="1" applyFont="1" applyFill="1" applyBorder="1" applyAlignment="1">
      <alignment horizontal="right"/>
      <protection/>
    </xf>
    <xf numFmtId="0" fontId="27" fillId="39" borderId="18" xfId="66" applyFont="1" applyFill="1" applyBorder="1">
      <alignment/>
      <protection/>
    </xf>
    <xf numFmtId="0" fontId="38" fillId="40" borderId="19" xfId="66" applyFont="1" applyFill="1" applyBorder="1">
      <alignment/>
      <protection/>
    </xf>
    <xf numFmtId="0" fontId="24" fillId="40" borderId="19" xfId="66" applyFont="1" applyFill="1" applyBorder="1">
      <alignment/>
      <protection/>
    </xf>
    <xf numFmtId="37" fontId="24" fillId="40" borderId="19" xfId="66" applyNumberFormat="1" applyFont="1" applyFill="1" applyBorder="1" applyAlignment="1">
      <alignment horizontal="center"/>
      <protection/>
    </xf>
    <xf numFmtId="0" fontId="24" fillId="40" borderId="19" xfId="66" applyFont="1" applyFill="1" applyBorder="1" applyAlignment="1">
      <alignment horizontal="center"/>
      <protection/>
    </xf>
    <xf numFmtId="0" fontId="43" fillId="40" borderId="19" xfId="66" applyFont="1" applyFill="1" applyBorder="1" applyAlignment="1">
      <alignment horizontal="center"/>
      <protection/>
    </xf>
    <xf numFmtId="0" fontId="24" fillId="40" borderId="19" xfId="66" applyFont="1" applyFill="1" applyBorder="1" applyAlignment="1">
      <alignment horizontal="center" vertical="justify"/>
      <protection/>
    </xf>
    <xf numFmtId="0" fontId="24" fillId="40" borderId="20" xfId="66" applyFont="1" applyFill="1" applyBorder="1" applyAlignment="1">
      <alignment horizontal="center"/>
      <protection/>
    </xf>
    <xf numFmtId="0" fontId="27" fillId="39" borderId="21" xfId="66" applyFont="1" applyFill="1" applyBorder="1">
      <alignment/>
      <protection/>
    </xf>
    <xf numFmtId="0" fontId="100" fillId="40" borderId="22" xfId="0" applyNumberFormat="1" applyFont="1" applyFill="1" applyBorder="1" applyAlignment="1">
      <alignment horizontal="center" vertical="center" wrapText="1" readingOrder="1"/>
    </xf>
    <xf numFmtId="37" fontId="24" fillId="40" borderId="22" xfId="66" applyNumberFormat="1" applyFont="1" applyFill="1" applyBorder="1" applyAlignment="1">
      <alignment horizontal="center"/>
      <protection/>
    </xf>
    <xf numFmtId="0" fontId="24" fillId="40" borderId="22" xfId="66" applyFont="1" applyFill="1" applyBorder="1" applyAlignment="1">
      <alignment horizontal="center" vertical="justify"/>
      <protection/>
    </xf>
    <xf numFmtId="0" fontId="27" fillId="40" borderId="22" xfId="66" applyFont="1" applyFill="1" applyBorder="1" applyAlignment="1">
      <alignment horizontal="center" vertical="justify"/>
      <protection/>
    </xf>
    <xf numFmtId="0" fontId="24" fillId="40" borderId="23" xfId="66" applyFont="1" applyFill="1" applyBorder="1" applyAlignment="1">
      <alignment horizontal="center" vertical="justify"/>
      <protection/>
    </xf>
    <xf numFmtId="49" fontId="22" fillId="39" borderId="68" xfId="66" applyNumberFormat="1" applyFont="1" applyFill="1" applyBorder="1" applyAlignment="1">
      <alignment horizontal="center"/>
      <protection/>
    </xf>
    <xf numFmtId="49" fontId="22" fillId="39" borderId="55" xfId="66" applyNumberFormat="1" applyFont="1" applyFill="1" applyBorder="1" applyAlignment="1">
      <alignment horizontal="center"/>
      <protection/>
    </xf>
    <xf numFmtId="0" fontId="24" fillId="39" borderId="55" xfId="66" applyFont="1" applyFill="1" applyBorder="1">
      <alignment/>
      <protection/>
    </xf>
    <xf numFmtId="4" fontId="22" fillId="39" borderId="55" xfId="59" applyNumberFormat="1" applyFont="1" applyFill="1" applyBorder="1" applyAlignment="1" applyProtection="1">
      <alignment/>
      <protection/>
    </xf>
    <xf numFmtId="4" fontId="23" fillId="39" borderId="55" xfId="59" applyNumberFormat="1" applyFont="1" applyFill="1" applyBorder="1" applyAlignment="1" applyProtection="1">
      <alignment/>
      <protection/>
    </xf>
    <xf numFmtId="4" fontId="22" fillId="39" borderId="55" xfId="59" applyNumberFormat="1" applyFont="1" applyFill="1" applyBorder="1" applyAlignment="1" applyProtection="1">
      <alignment horizontal="right"/>
      <protection/>
    </xf>
    <xf numFmtId="4" fontId="22" fillId="39" borderId="39" xfId="59" applyNumberFormat="1" applyFont="1" applyFill="1" applyBorder="1" applyAlignment="1" applyProtection="1">
      <alignment/>
      <protection/>
    </xf>
    <xf numFmtId="0" fontId="101" fillId="0" borderId="22" xfId="0" applyNumberFormat="1" applyFont="1" applyBorder="1" applyAlignment="1">
      <alignment horizontal="left" vertical="center" wrapText="1" readingOrder="1"/>
    </xf>
    <xf numFmtId="183" fontId="22" fillId="39" borderId="22" xfId="57" applyFont="1" applyFill="1" applyBorder="1" applyAlignment="1" applyProtection="1">
      <alignment horizontal="center"/>
      <protection/>
    </xf>
    <xf numFmtId="4" fontId="22" fillId="39" borderId="22" xfId="59" applyNumberFormat="1" applyFont="1" applyFill="1" applyBorder="1" applyAlignment="1" applyProtection="1">
      <alignment/>
      <protection/>
    </xf>
    <xf numFmtId="4" fontId="22" fillId="39" borderId="22" xfId="66" applyNumberFormat="1" applyFont="1" applyFill="1" applyBorder="1" applyAlignment="1">
      <alignment horizontal="right"/>
      <protection/>
    </xf>
    <xf numFmtId="0" fontId="24" fillId="39" borderId="22" xfId="66" applyFont="1" applyFill="1" applyBorder="1" applyAlignment="1">
      <alignment horizontal="center"/>
      <protection/>
    </xf>
    <xf numFmtId="4" fontId="22" fillId="39" borderId="22" xfId="59" applyNumberFormat="1" applyFont="1" applyFill="1" applyBorder="1" applyAlignment="1" applyProtection="1">
      <alignment horizontal="right"/>
      <protection/>
    </xf>
    <xf numFmtId="4" fontId="22" fillId="39" borderId="23" xfId="59" applyNumberFormat="1" applyFont="1" applyFill="1" applyBorder="1" applyAlignment="1" applyProtection="1">
      <alignment/>
      <protection/>
    </xf>
    <xf numFmtId="0" fontId="101" fillId="40" borderId="22" xfId="0" applyNumberFormat="1" applyFont="1" applyFill="1" applyBorder="1" applyAlignment="1">
      <alignment horizontal="center" vertical="center" wrapText="1"/>
    </xf>
    <xf numFmtId="0" fontId="102" fillId="40" borderId="22" xfId="0" applyNumberFormat="1" applyFont="1" applyFill="1" applyBorder="1" applyAlignment="1">
      <alignment horizontal="left" vertical="center" wrapText="1" readingOrder="1"/>
    </xf>
    <xf numFmtId="4" fontId="24" fillId="40" borderId="63" xfId="59" applyNumberFormat="1" applyFont="1" applyFill="1" applyBorder="1" applyAlignment="1" applyProtection="1">
      <alignment vertical="center" wrapText="1"/>
      <protection/>
    </xf>
    <xf numFmtId="0" fontId="22" fillId="39" borderId="21" xfId="66" applyFont="1" applyFill="1" applyBorder="1" applyAlignment="1">
      <alignment horizontal="center"/>
      <protection/>
    </xf>
    <xf numFmtId="0" fontId="101" fillId="39" borderId="22" xfId="0" applyNumberFormat="1" applyFont="1" applyFill="1" applyBorder="1" applyAlignment="1">
      <alignment horizontal="center" vertical="center" wrapText="1"/>
    </xf>
    <xf numFmtId="0" fontId="24" fillId="39" borderId="22" xfId="66" applyFont="1" applyFill="1" applyBorder="1">
      <alignment/>
      <protection/>
    </xf>
    <xf numFmtId="0" fontId="103" fillId="0" borderId="22" xfId="0" applyNumberFormat="1" applyFont="1" applyBorder="1" applyAlignment="1">
      <alignment horizontal="center" vertical="center" wrapText="1" readingOrder="1"/>
    </xf>
    <xf numFmtId="4" fontId="23" fillId="39" borderId="22" xfId="59" applyNumberFormat="1" applyFont="1" applyFill="1" applyBorder="1" applyAlignment="1" applyProtection="1">
      <alignment/>
      <protection/>
    </xf>
    <xf numFmtId="0" fontId="23" fillId="39" borderId="21" xfId="66" applyFont="1" applyFill="1" applyBorder="1" applyAlignment="1">
      <alignment horizontal="center"/>
      <protection/>
    </xf>
    <xf numFmtId="4" fontId="24" fillId="39" borderId="22" xfId="59" applyNumberFormat="1" applyFont="1" applyFill="1" applyBorder="1" applyAlignment="1" applyProtection="1">
      <alignment/>
      <protection/>
    </xf>
    <xf numFmtId="0" fontId="27" fillId="39" borderId="21" xfId="66" applyFont="1" applyFill="1" applyBorder="1" applyAlignment="1">
      <alignment horizontal="center"/>
      <protection/>
    </xf>
    <xf numFmtId="4" fontId="24" fillId="39" borderId="55" xfId="59" applyNumberFormat="1" applyFont="1" applyFill="1" applyBorder="1" applyAlignment="1" applyProtection="1">
      <alignment/>
      <protection/>
    </xf>
    <xf numFmtId="4" fontId="24" fillId="39" borderId="39" xfId="59" applyNumberFormat="1" applyFont="1" applyFill="1" applyBorder="1" applyAlignment="1" applyProtection="1">
      <alignment/>
      <protection/>
    </xf>
    <xf numFmtId="49" fontId="24" fillId="39" borderId="22" xfId="66" applyNumberFormat="1" applyFont="1" applyFill="1" applyBorder="1" applyAlignment="1">
      <alignment horizontal="center"/>
      <protection/>
    </xf>
    <xf numFmtId="4" fontId="27" fillId="39" borderId="22" xfId="59" applyNumberFormat="1" applyFont="1" applyFill="1" applyBorder="1" applyAlignment="1" applyProtection="1">
      <alignment/>
      <protection/>
    </xf>
    <xf numFmtId="4" fontId="24" fillId="39" borderId="22" xfId="59" applyNumberFormat="1" applyFont="1" applyFill="1" applyBorder="1" applyAlignment="1" applyProtection="1">
      <alignment horizontal="right"/>
      <protection/>
    </xf>
    <xf numFmtId="4" fontId="24" fillId="39" borderId="23" xfId="59" applyNumberFormat="1" applyFont="1" applyFill="1" applyBorder="1" applyAlignment="1" applyProtection="1">
      <alignment/>
      <protection/>
    </xf>
    <xf numFmtId="0" fontId="23" fillId="39" borderId="21" xfId="63" applyFont="1" applyFill="1" applyBorder="1" applyAlignment="1">
      <alignment vertical="center" wrapText="1"/>
      <protection/>
    </xf>
    <xf numFmtId="4" fontId="23" fillId="39" borderId="22" xfId="59" applyNumberFormat="1" applyFont="1" applyFill="1" applyBorder="1" applyAlignment="1" applyProtection="1">
      <alignment horizontal="right" vertical="center" wrapText="1"/>
      <protection/>
    </xf>
    <xf numFmtId="0" fontId="104" fillId="40" borderId="22" xfId="0" applyNumberFormat="1" applyFont="1" applyFill="1" applyBorder="1" applyAlignment="1">
      <alignment horizontal="center" vertical="center" wrapText="1" readingOrder="1"/>
    </xf>
    <xf numFmtId="49" fontId="24" fillId="40" borderId="22" xfId="66" applyNumberFormat="1" applyFont="1" applyFill="1" applyBorder="1" applyAlignment="1">
      <alignment horizontal="center"/>
      <protection/>
    </xf>
    <xf numFmtId="0" fontId="23" fillId="39" borderId="25" xfId="66" applyFont="1" applyFill="1" applyBorder="1" applyAlignment="1">
      <alignment horizontal="center"/>
      <protection/>
    </xf>
    <xf numFmtId="0" fontId="104" fillId="45" borderId="26" xfId="0" applyNumberFormat="1" applyFont="1" applyFill="1" applyBorder="1" applyAlignment="1">
      <alignment horizontal="center" vertical="center" wrapText="1" readingOrder="1"/>
    </xf>
    <xf numFmtId="0" fontId="23" fillId="45" borderId="26" xfId="66" applyFont="1" applyFill="1" applyBorder="1" applyAlignment="1">
      <alignment horizontal="center"/>
      <protection/>
    </xf>
    <xf numFmtId="0" fontId="102" fillId="45" borderId="26" xfId="0" applyNumberFormat="1" applyFont="1" applyFill="1" applyBorder="1" applyAlignment="1">
      <alignment horizontal="left" vertical="center" wrapText="1" readingOrder="1"/>
    </xf>
    <xf numFmtId="4" fontId="27" fillId="45" borderId="26" xfId="66" applyNumberFormat="1" applyFont="1" applyFill="1" applyBorder="1">
      <alignment/>
      <protection/>
    </xf>
    <xf numFmtId="0" fontId="8" fillId="39" borderId="13" xfId="66" applyFill="1" applyBorder="1" applyAlignment="1">
      <alignment horizontal="center"/>
      <protection/>
    </xf>
    <xf numFmtId="0" fontId="8" fillId="39" borderId="0" xfId="66" applyFill="1" applyAlignment="1">
      <alignment horizontal="center"/>
      <protection/>
    </xf>
    <xf numFmtId="0" fontId="1" fillId="39" borderId="0" xfId="66" applyFont="1" applyFill="1">
      <alignment/>
      <protection/>
    </xf>
    <xf numFmtId="0" fontId="23" fillId="39" borderId="0" xfId="66" applyFont="1" applyFill="1">
      <alignment/>
      <protection/>
    </xf>
    <xf numFmtId="4" fontId="23" fillId="39" borderId="0" xfId="66" applyNumberFormat="1" applyFont="1" applyFill="1">
      <alignment/>
      <protection/>
    </xf>
    <xf numFmtId="185" fontId="23" fillId="39" borderId="0" xfId="56" applyFont="1" applyFill="1" applyBorder="1" applyAlignment="1">
      <alignment/>
    </xf>
    <xf numFmtId="183" fontId="23" fillId="39" borderId="0" xfId="57" applyFont="1" applyFill="1" applyBorder="1" applyAlignment="1">
      <alignment/>
    </xf>
    <xf numFmtId="10" fontId="23" fillId="39" borderId="0" xfId="66" applyNumberFormat="1" applyFont="1" applyFill="1">
      <alignment/>
      <protection/>
    </xf>
    <xf numFmtId="10" fontId="23" fillId="39" borderId="0" xfId="66" applyNumberFormat="1" applyFont="1" applyFill="1" applyAlignment="1">
      <alignment horizontal="center"/>
      <protection/>
    </xf>
    <xf numFmtId="0" fontId="44" fillId="39" borderId="0" xfId="66" applyFont="1" applyFill="1">
      <alignment/>
      <protection/>
    </xf>
    <xf numFmtId="185" fontId="27" fillId="39" borderId="0" xfId="66" applyNumberFormat="1" applyFont="1" applyFill="1" applyAlignment="1">
      <alignment horizontal="center"/>
      <protection/>
    </xf>
    <xf numFmtId="200" fontId="105" fillId="0" borderId="69" xfId="0" applyFont="1" applyBorder="1" applyAlignment="1">
      <alignment horizontal="center" vertical="center" wrapText="1" readingOrder="1"/>
    </xf>
    <xf numFmtId="200" fontId="105" fillId="0" borderId="69" xfId="0" applyFont="1" applyBorder="1" applyAlignment="1">
      <alignment horizontal="left" vertical="center" wrapText="1" readingOrder="1"/>
    </xf>
    <xf numFmtId="213" fontId="105" fillId="0" borderId="69" xfId="0" applyNumberFormat="1" applyFont="1" applyBorder="1" applyAlignment="1">
      <alignment horizontal="right" vertical="center" wrapText="1" readingOrder="1"/>
    </xf>
    <xf numFmtId="200" fontId="45" fillId="0" borderId="22" xfId="0" applyFont="1" applyBorder="1" applyAlignment="1">
      <alignment horizontal="center" vertical="center" wrapText="1" readingOrder="1"/>
    </xf>
    <xf numFmtId="200" fontId="45" fillId="0" borderId="22" xfId="0" applyFont="1" applyBorder="1" applyAlignment="1">
      <alignment horizontal="left" vertical="center" wrapText="1" readingOrder="1"/>
    </xf>
    <xf numFmtId="200" fontId="104" fillId="0" borderId="22" xfId="0" applyFont="1" applyBorder="1" applyAlignment="1">
      <alignment horizontal="center" vertical="center" wrapText="1" readingOrder="1"/>
    </xf>
    <xf numFmtId="4" fontId="22" fillId="39" borderId="22" xfId="59" applyNumberFormat="1" applyFont="1" applyFill="1" applyBorder="1" applyAlignment="1" applyProtection="1">
      <alignment horizontal="right" vertical="center" wrapText="1"/>
      <protection/>
    </xf>
    <xf numFmtId="4" fontId="22" fillId="39" borderId="22" xfId="59" applyNumberFormat="1" applyFont="1" applyFill="1" applyBorder="1" applyAlignment="1" applyProtection="1">
      <alignment horizontal="right" vertical="center"/>
      <protection/>
    </xf>
    <xf numFmtId="49" fontId="24" fillId="42" borderId="22" xfId="66" applyNumberFormat="1" applyFont="1" applyFill="1" applyBorder="1" applyAlignment="1">
      <alignment horizontal="center"/>
      <protection/>
    </xf>
    <xf numFmtId="0" fontId="24" fillId="42" borderId="22" xfId="66" applyFont="1" applyFill="1" applyBorder="1">
      <alignment/>
      <protection/>
    </xf>
    <xf numFmtId="4" fontId="24" fillId="42" borderId="22" xfId="59" applyNumberFormat="1" applyFont="1" applyFill="1" applyBorder="1" applyAlignment="1" applyProtection="1">
      <alignment/>
      <protection/>
    </xf>
    <xf numFmtId="4" fontId="22" fillId="39" borderId="23" xfId="59" applyNumberFormat="1" applyFont="1" applyFill="1" applyBorder="1" applyAlignment="1" applyProtection="1">
      <alignment horizontal="right" vertical="center" wrapText="1"/>
      <protection/>
    </xf>
    <xf numFmtId="49" fontId="24" fillId="43" borderId="68" xfId="66" applyNumberFormat="1" applyFont="1" applyFill="1" applyBorder="1" applyAlignment="1">
      <alignment horizontal="center"/>
      <protection/>
    </xf>
    <xf numFmtId="49" fontId="24" fillId="43" borderId="55" xfId="66" applyNumberFormat="1" applyFont="1" applyFill="1" applyBorder="1" applyAlignment="1">
      <alignment horizontal="center"/>
      <protection/>
    </xf>
    <xf numFmtId="0" fontId="24" fillId="43" borderId="55" xfId="66" applyFont="1" applyFill="1" applyBorder="1">
      <alignment/>
      <protection/>
    </xf>
    <xf numFmtId="4" fontId="24" fillId="43" borderId="55" xfId="59" applyNumberFormat="1" applyFont="1" applyFill="1" applyBorder="1" applyAlignment="1" applyProtection="1">
      <alignment/>
      <protection/>
    </xf>
    <xf numFmtId="4" fontId="27" fillId="40" borderId="22" xfId="59" applyNumberFormat="1" applyFont="1" applyFill="1" applyBorder="1" applyAlignment="1" applyProtection="1">
      <alignment/>
      <protection/>
    </xf>
    <xf numFmtId="4" fontId="27" fillId="42" borderId="22" xfId="59" applyNumberFormat="1" applyFont="1" applyFill="1" applyBorder="1" applyAlignment="1" applyProtection="1">
      <alignment/>
      <protection/>
    </xf>
    <xf numFmtId="3" fontId="70" fillId="39" borderId="65" xfId="56" applyNumberFormat="1" applyFont="1" applyFill="1" applyBorder="1" applyAlignment="1">
      <alignment/>
    </xf>
    <xf numFmtId="3" fontId="70" fillId="39" borderId="66" xfId="56" applyNumberFormat="1" applyFont="1" applyFill="1" applyBorder="1" applyAlignment="1">
      <alignment/>
    </xf>
    <xf numFmtId="200" fontId="11" fillId="33" borderId="10" xfId="0" applyFont="1" applyFill="1" applyBorder="1" applyAlignment="1">
      <alignment horizontal="center"/>
    </xf>
    <xf numFmtId="200" fontId="11" fillId="33" borderId="11" xfId="0" applyFont="1" applyFill="1" applyBorder="1" applyAlignment="1">
      <alignment horizontal="center"/>
    </xf>
    <xf numFmtId="200" fontId="11" fillId="33" borderId="12" xfId="0" applyFont="1" applyFill="1" applyBorder="1" applyAlignment="1">
      <alignment horizontal="center"/>
    </xf>
    <xf numFmtId="200" fontId="11" fillId="33" borderId="13" xfId="0" applyFont="1" applyFill="1" applyBorder="1" applyAlignment="1">
      <alignment horizontal="center"/>
    </xf>
    <xf numFmtId="200" fontId="11" fillId="33" borderId="0" xfId="0" applyFont="1" applyFill="1" applyBorder="1" applyAlignment="1">
      <alignment horizontal="center"/>
    </xf>
    <xf numFmtId="200" fontId="11" fillId="33" borderId="14" xfId="0" applyFont="1" applyFill="1" applyBorder="1" applyAlignment="1">
      <alignment horizontal="center"/>
    </xf>
    <xf numFmtId="200" fontId="96" fillId="33" borderId="13" xfId="0" applyFont="1" applyFill="1" applyBorder="1" applyAlignment="1">
      <alignment horizontal="right"/>
    </xf>
    <xf numFmtId="200" fontId="96" fillId="33" borderId="0" xfId="0" applyFont="1" applyFill="1" applyBorder="1" applyAlignment="1">
      <alignment horizontal="right"/>
    </xf>
    <xf numFmtId="200" fontId="96" fillId="33" borderId="14" xfId="0" applyFont="1" applyFill="1" applyBorder="1" applyAlignment="1">
      <alignment horizontal="right"/>
    </xf>
    <xf numFmtId="200" fontId="27" fillId="38" borderId="21" xfId="0" applyFont="1" applyFill="1" applyBorder="1" applyAlignment="1" applyProtection="1">
      <alignment horizontal="right" vertical="center" wrapText="1"/>
      <protection/>
    </xf>
    <xf numFmtId="200" fontId="27" fillId="38" borderId="22" xfId="0" applyFont="1" applyFill="1" applyBorder="1" applyAlignment="1" applyProtection="1">
      <alignment horizontal="right" vertical="center" wrapText="1"/>
      <protection/>
    </xf>
    <xf numFmtId="0" fontId="12" fillId="39" borderId="10" xfId="66" applyFont="1" applyFill="1" applyBorder="1" applyAlignment="1">
      <alignment horizontal="center"/>
      <protection/>
    </xf>
    <xf numFmtId="0" fontId="12" fillId="39" borderId="11" xfId="66" applyFont="1" applyFill="1" applyBorder="1" applyAlignment="1">
      <alignment horizontal="center"/>
      <protection/>
    </xf>
    <xf numFmtId="0" fontId="12" fillId="39" borderId="12" xfId="66" applyFont="1" applyFill="1" applyBorder="1" applyAlignment="1">
      <alignment horizontal="center"/>
      <protection/>
    </xf>
    <xf numFmtId="0" fontId="12" fillId="39" borderId="13" xfId="66" applyFont="1" applyFill="1" applyBorder="1" applyAlignment="1">
      <alignment horizontal="center"/>
      <protection/>
    </xf>
    <xf numFmtId="0" fontId="12" fillId="39" borderId="0" xfId="66" applyFont="1" applyFill="1" applyAlignment="1">
      <alignment horizontal="center"/>
      <protection/>
    </xf>
    <xf numFmtId="0" fontId="12" fillId="39" borderId="14" xfId="66" applyFont="1" applyFill="1" applyBorder="1" applyAlignment="1">
      <alignment horizontal="center"/>
      <protection/>
    </xf>
    <xf numFmtId="200" fontId="98" fillId="39" borderId="0" xfId="0" applyFont="1" applyFill="1" applyAlignment="1">
      <alignment horizontal="center"/>
    </xf>
    <xf numFmtId="200" fontId="98" fillId="39" borderId="67" xfId="0" applyFont="1" applyFill="1" applyBorder="1" applyAlignment="1">
      <alignment horizontal="center"/>
    </xf>
    <xf numFmtId="0" fontId="12" fillId="39" borderId="10" xfId="66" applyFont="1" applyFill="1" applyBorder="1" applyAlignment="1" applyProtection="1">
      <alignment horizontal="center"/>
      <protection/>
    </xf>
    <xf numFmtId="0" fontId="12" fillId="39" borderId="11" xfId="66" applyFont="1" applyFill="1" applyBorder="1" applyAlignment="1" applyProtection="1">
      <alignment horizontal="center"/>
      <protection/>
    </xf>
    <xf numFmtId="0" fontId="12" fillId="39" borderId="12" xfId="66" applyFont="1" applyFill="1" applyBorder="1" applyAlignment="1" applyProtection="1">
      <alignment horizontal="center"/>
      <protection/>
    </xf>
    <xf numFmtId="0" fontId="12" fillId="39" borderId="0" xfId="66" applyFont="1" applyFill="1" applyBorder="1" applyAlignment="1">
      <alignment horizontal="center"/>
      <protection/>
    </xf>
    <xf numFmtId="0" fontId="96" fillId="33" borderId="0" xfId="66" applyFont="1" applyFill="1" applyBorder="1" applyAlignment="1">
      <alignment horizontal="right"/>
      <protection/>
    </xf>
    <xf numFmtId="0" fontId="96" fillId="33" borderId="14" xfId="66" applyFont="1" applyFill="1" applyBorder="1" applyAlignment="1">
      <alignment horizontal="right"/>
      <protection/>
    </xf>
    <xf numFmtId="200" fontId="12" fillId="36" borderId="10" xfId="0" applyFont="1" applyFill="1" applyBorder="1" applyAlignment="1">
      <alignment horizontal="center"/>
    </xf>
    <xf numFmtId="200" fontId="12" fillId="36" borderId="11" xfId="0" applyFont="1" applyFill="1" applyBorder="1" applyAlignment="1">
      <alignment horizontal="center"/>
    </xf>
    <xf numFmtId="200" fontId="12" fillId="36" borderId="12" xfId="0" applyFont="1" applyFill="1" applyBorder="1" applyAlignment="1">
      <alignment horizontal="center"/>
    </xf>
    <xf numFmtId="200" fontId="1" fillId="36" borderId="13" xfId="0" applyFont="1" applyFill="1" applyBorder="1" applyAlignment="1">
      <alignment horizontal="center"/>
    </xf>
    <xf numFmtId="200" fontId="1" fillId="36" borderId="0" xfId="0" applyFont="1" applyFill="1" applyBorder="1" applyAlignment="1">
      <alignment horizontal="center"/>
    </xf>
    <xf numFmtId="200" fontId="1" fillId="36" borderId="14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Millares_VIGENCIA2000 2" xfId="59"/>
    <cellStyle name="Currency" xfId="60"/>
    <cellStyle name="Currency [0]" xfId="61"/>
    <cellStyle name="Neutral" xfId="62"/>
    <cellStyle name="Normal 2" xfId="63"/>
    <cellStyle name="Normal 2 3" xfId="64"/>
    <cellStyle name="Normal 3" xfId="65"/>
    <cellStyle name="Normal_RESERVAS+PRES+2009-JULIO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333375</xdr:rowOff>
    </xdr:from>
    <xdr:to>
      <xdr:col>7</xdr:col>
      <xdr:colOff>123825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011" r="59078" b="10000"/>
        <a:stretch>
          <a:fillRect/>
        </a:stretch>
      </xdr:blipFill>
      <xdr:spPr>
        <a:xfrm>
          <a:off x="590550" y="333375"/>
          <a:ext cx="2362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57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AUDIA\CLAUDIA\Claudia\Informes\Informes%202017\CONSOLIDADO\VIGENCIA\RESUMEN%20CONSOLIDADO%20EJECUCION%20JUNIO%20%2030%20%20DE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IF JUNIO "/>
      <sheetName val="JUNIO "/>
      <sheetName val="A OCT RESERVA PROY"/>
    </sheetNames>
    <sheetDataSet>
      <sheetData sheetId="0">
        <row r="79">
          <cell r="S79">
            <v>2456501401000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2631"/>
  <sheetViews>
    <sheetView zoomScale="83" zoomScaleNormal="83" zoomScalePageLayoutView="0" workbookViewId="0" topLeftCell="A2">
      <selection activeCell="O20" sqref="O20"/>
    </sheetView>
  </sheetViews>
  <sheetFormatPr defaultColWidth="12.69921875" defaultRowHeight="15"/>
  <cols>
    <col min="1" max="1" width="1.8984375" style="0" customWidth="1"/>
    <col min="2" max="2" width="3.59765625" style="0" customWidth="1"/>
    <col min="3" max="3" width="5" style="0" customWidth="1"/>
    <col min="4" max="4" width="5.19921875" style="0" customWidth="1"/>
    <col min="5" max="5" width="5.59765625" style="0" customWidth="1"/>
    <col min="6" max="6" width="5.19921875" style="0" customWidth="1"/>
    <col min="7" max="7" width="3.19921875" style="0" customWidth="1"/>
    <col min="8" max="8" width="3.296875" style="0" customWidth="1"/>
    <col min="9" max="9" width="2.59765625" style="0" customWidth="1"/>
    <col min="10" max="10" width="20.296875" style="0" customWidth="1"/>
    <col min="11" max="11" width="18.09765625" style="0" customWidth="1"/>
    <col min="12" max="12" width="17.296875" style="0" hidden="1" customWidth="1"/>
    <col min="13" max="13" width="18.09765625" style="0" hidden="1" customWidth="1"/>
    <col min="14" max="14" width="22.8984375" style="0" hidden="1" customWidth="1"/>
    <col min="15" max="15" width="18.8984375" style="0" customWidth="1"/>
    <col min="16" max="16" width="17.8984375" style="0" customWidth="1"/>
    <col min="17" max="17" width="18.09765625" style="0" hidden="1" customWidth="1"/>
    <col min="18" max="18" width="17.19921875" style="0" hidden="1" customWidth="1"/>
    <col min="19" max="19" width="17" style="0" hidden="1" customWidth="1"/>
    <col min="20" max="20" width="19.8984375" style="0" hidden="1" customWidth="1"/>
    <col min="21" max="21" width="20.3984375" style="0" hidden="1" customWidth="1"/>
    <col min="22" max="22" width="16.69921875" style="0" hidden="1" customWidth="1"/>
    <col min="23" max="23" width="18.69921875" style="0" hidden="1" customWidth="1"/>
    <col min="24" max="24" width="16.8984375" style="0" customWidth="1"/>
    <col min="25" max="25" width="19.09765625" style="0" hidden="1" customWidth="1"/>
    <col min="26" max="26" width="15.19921875" style="0" hidden="1" customWidth="1"/>
    <col min="27" max="27" width="0.1015625" style="0" customWidth="1"/>
    <col min="28" max="28" width="17.69921875" style="0" customWidth="1"/>
    <col min="29" max="29" width="18" style="0" customWidth="1"/>
    <col min="30" max="31" width="17.69921875" style="0" hidden="1" customWidth="1"/>
    <col min="32" max="32" width="17.09765625" style="0" hidden="1" customWidth="1"/>
    <col min="33" max="33" width="20.3984375" style="0" hidden="1" customWidth="1"/>
    <col min="34" max="34" width="19.09765625" style="0" hidden="1" customWidth="1"/>
    <col min="35" max="35" width="19.296875" style="0" hidden="1" customWidth="1"/>
    <col min="36" max="36" width="17.59765625" style="0" hidden="1" customWidth="1"/>
    <col min="37" max="37" width="17.69921875" style="0" customWidth="1"/>
    <col min="38" max="38" width="19.69921875" style="0" hidden="1" customWidth="1"/>
    <col min="39" max="39" width="17.09765625" style="0" hidden="1" customWidth="1"/>
    <col min="40" max="40" width="19.8984375" style="0" hidden="1" customWidth="1"/>
    <col min="41" max="41" width="16.69921875" style="0" customWidth="1"/>
    <col min="42" max="42" width="18.19921875" style="0" customWidth="1"/>
    <col min="43" max="43" width="18.296875" style="0" hidden="1" customWidth="1"/>
    <col min="44" max="44" width="18.3984375" style="0" hidden="1" customWidth="1"/>
    <col min="45" max="45" width="16.69921875" style="0" hidden="1" customWidth="1"/>
    <col min="46" max="46" width="20.19921875" style="0" hidden="1" customWidth="1"/>
    <col min="47" max="47" width="16.69921875" style="0" hidden="1" customWidth="1"/>
    <col min="48" max="48" width="17.69921875" style="0" hidden="1" customWidth="1"/>
    <col min="49" max="49" width="18" style="0" hidden="1" customWidth="1"/>
    <col min="50" max="50" width="18.296875" style="0" customWidth="1"/>
    <col min="51" max="51" width="19.59765625" style="0" customWidth="1"/>
    <col min="52" max="52" width="17.3984375" style="0" customWidth="1"/>
    <col min="53" max="53" width="19.69921875" style="0" customWidth="1"/>
    <col min="54" max="54" width="9" style="0" customWidth="1"/>
    <col min="55" max="56" width="12.69921875" style="0" customWidth="1"/>
    <col min="57" max="57" width="14.8984375" style="0" bestFit="1" customWidth="1"/>
  </cols>
  <sheetData>
    <row r="1" spans="1:50" ht="12.75" hidden="1" thickBot="1">
      <c r="A1" s="1" t="s">
        <v>0</v>
      </c>
      <c r="B1" s="2"/>
      <c r="C1" s="3"/>
      <c r="D1" s="3"/>
      <c r="E1" s="4"/>
      <c r="F1" s="4"/>
      <c r="G1" s="4"/>
      <c r="H1" s="4"/>
      <c r="I1" s="4"/>
      <c r="J1" s="5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6"/>
    </row>
    <row r="2" spans="1:50" s="7" customFormat="1" ht="27.75">
      <c r="A2" s="560" t="s">
        <v>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2"/>
    </row>
    <row r="3" spans="1:50" s="7" customFormat="1" ht="27" customHeight="1">
      <c r="A3" s="563" t="s">
        <v>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  <c r="P3" s="564"/>
      <c r="Q3" s="564"/>
      <c r="R3" s="564"/>
      <c r="S3" s="564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564"/>
      <c r="AQ3" s="564"/>
      <c r="AR3" s="564"/>
      <c r="AS3" s="564"/>
      <c r="AT3" s="564"/>
      <c r="AU3" s="564"/>
      <c r="AV3" s="564"/>
      <c r="AW3" s="564"/>
      <c r="AX3" s="565"/>
    </row>
    <row r="4" spans="1:50" s="7" customFormat="1" ht="38.25" customHeight="1">
      <c r="A4" s="563" t="s">
        <v>4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564"/>
      <c r="AN4" s="564"/>
      <c r="AO4" s="564"/>
      <c r="AP4" s="564"/>
      <c r="AQ4" s="564"/>
      <c r="AR4" s="564"/>
      <c r="AS4" s="564"/>
      <c r="AT4" s="564"/>
      <c r="AU4" s="564"/>
      <c r="AV4" s="564"/>
      <c r="AW4" s="564"/>
      <c r="AX4" s="565"/>
    </row>
    <row r="5" spans="1:50" s="7" customFormat="1" ht="18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"/>
    </row>
    <row r="6" spans="1:50" s="7" customFormat="1" ht="18">
      <c r="A6" s="566" t="s">
        <v>233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/>
      <c r="AT6" s="567"/>
      <c r="AU6" s="567"/>
      <c r="AV6" s="567"/>
      <c r="AW6" s="567"/>
      <c r="AX6" s="568"/>
    </row>
    <row r="7" spans="1:50" s="7" customFormat="1" ht="19.5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5"/>
      <c r="AL7" s="244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6"/>
    </row>
    <row r="8" spans="1:50" s="7" customFormat="1" ht="19.5">
      <c r="A8" s="12" t="s">
        <v>5</v>
      </c>
      <c r="B8" s="13"/>
      <c r="C8" s="11"/>
      <c r="D8" s="11"/>
      <c r="E8" s="14"/>
      <c r="F8" s="14"/>
      <c r="G8" s="15"/>
      <c r="H8" s="15"/>
      <c r="I8" s="15"/>
      <c r="J8" s="16"/>
      <c r="K8" s="1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20"/>
    </row>
    <row r="9" spans="1:50" s="7" customFormat="1" ht="20.25" thickBot="1">
      <c r="A9" s="21" t="s">
        <v>6</v>
      </c>
      <c r="B9" s="22"/>
      <c r="C9" s="23"/>
      <c r="D9" s="23"/>
      <c r="E9" s="24"/>
      <c r="F9" s="24"/>
      <c r="G9" s="25"/>
      <c r="H9" s="25"/>
      <c r="I9" s="25"/>
      <c r="J9" s="2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7"/>
    </row>
    <row r="10" spans="1:54" s="7" customFormat="1" ht="18" customHeight="1">
      <c r="A10" s="28"/>
      <c r="B10" s="29" t="s">
        <v>7</v>
      </c>
      <c r="C10" s="30"/>
      <c r="D10" s="30"/>
      <c r="E10" s="30"/>
      <c r="F10" s="30"/>
      <c r="G10" s="30"/>
      <c r="H10" s="31"/>
      <c r="I10" s="31"/>
      <c r="J10" s="31"/>
      <c r="K10" s="32" t="s">
        <v>8</v>
      </c>
      <c r="L10" s="33" t="s">
        <v>9</v>
      </c>
      <c r="M10" s="33" t="s">
        <v>9</v>
      </c>
      <c r="N10" s="33" t="s">
        <v>9</v>
      </c>
      <c r="O10" s="33" t="s">
        <v>9</v>
      </c>
      <c r="P10" s="33" t="s">
        <v>9</v>
      </c>
      <c r="Q10" s="33" t="s">
        <v>9</v>
      </c>
      <c r="R10" s="33" t="s">
        <v>9</v>
      </c>
      <c r="S10" s="33" t="s">
        <v>9</v>
      </c>
      <c r="T10" s="33" t="s">
        <v>9</v>
      </c>
      <c r="U10" s="33" t="s">
        <v>9</v>
      </c>
      <c r="V10" s="33" t="s">
        <v>9</v>
      </c>
      <c r="W10" s="33" t="s">
        <v>9</v>
      </c>
      <c r="X10" s="34" t="s">
        <v>10</v>
      </c>
      <c r="Y10" s="35" t="s">
        <v>11</v>
      </c>
      <c r="Z10" s="35" t="s">
        <v>11</v>
      </c>
      <c r="AA10" s="35" t="s">
        <v>11</v>
      </c>
      <c r="AB10" s="35" t="s">
        <v>11</v>
      </c>
      <c r="AC10" s="35" t="s">
        <v>11</v>
      </c>
      <c r="AD10" s="35" t="s">
        <v>11</v>
      </c>
      <c r="AE10" s="35" t="s">
        <v>11</v>
      </c>
      <c r="AF10" s="35" t="s">
        <v>11</v>
      </c>
      <c r="AG10" s="35" t="s">
        <v>11</v>
      </c>
      <c r="AH10" s="35" t="s">
        <v>11</v>
      </c>
      <c r="AI10" s="35" t="s">
        <v>11</v>
      </c>
      <c r="AJ10" s="35" t="s">
        <v>11</v>
      </c>
      <c r="AK10" s="32" t="s">
        <v>11</v>
      </c>
      <c r="AL10" s="36" t="s">
        <v>12</v>
      </c>
      <c r="AM10" s="36" t="s">
        <v>13</v>
      </c>
      <c r="AN10" s="36" t="s">
        <v>13</v>
      </c>
      <c r="AO10" s="36" t="s">
        <v>13</v>
      </c>
      <c r="AP10" s="36" t="s">
        <v>13</v>
      </c>
      <c r="AQ10" s="36" t="s">
        <v>13</v>
      </c>
      <c r="AR10" s="36" t="s">
        <v>13</v>
      </c>
      <c r="AS10" s="36" t="s">
        <v>13</v>
      </c>
      <c r="AT10" s="36" t="s">
        <v>13</v>
      </c>
      <c r="AU10" s="36" t="s">
        <v>13</v>
      </c>
      <c r="AV10" s="36" t="s">
        <v>13</v>
      </c>
      <c r="AW10" s="36" t="s">
        <v>13</v>
      </c>
      <c r="AX10" s="37" t="s">
        <v>14</v>
      </c>
      <c r="AY10" s="233" t="s">
        <v>166</v>
      </c>
      <c r="AZ10" s="231" t="s">
        <v>192</v>
      </c>
      <c r="BA10" s="231" t="s">
        <v>193</v>
      </c>
      <c r="BB10" s="251"/>
    </row>
    <row r="11" spans="1:54" s="7" customFormat="1" ht="16.5">
      <c r="A11" s="38" t="s">
        <v>15</v>
      </c>
      <c r="B11" s="39" t="s">
        <v>16</v>
      </c>
      <c r="C11" s="39" t="s">
        <v>17</v>
      </c>
      <c r="D11" s="39" t="s">
        <v>18</v>
      </c>
      <c r="E11" s="39" t="s">
        <v>19</v>
      </c>
      <c r="F11" s="39" t="s">
        <v>20</v>
      </c>
      <c r="G11" s="39" t="s">
        <v>21</v>
      </c>
      <c r="H11" s="39" t="s">
        <v>22</v>
      </c>
      <c r="I11" s="39" t="s">
        <v>23</v>
      </c>
      <c r="J11" s="40" t="s">
        <v>24</v>
      </c>
      <c r="K11" s="41" t="s">
        <v>25</v>
      </c>
      <c r="L11" s="42" t="s">
        <v>26</v>
      </c>
      <c r="M11" s="42" t="s">
        <v>27</v>
      </c>
      <c r="N11" s="42" t="s">
        <v>28</v>
      </c>
      <c r="O11" s="42" t="s">
        <v>29</v>
      </c>
      <c r="P11" s="42" t="s">
        <v>30</v>
      </c>
      <c r="Q11" s="42" t="s">
        <v>31</v>
      </c>
      <c r="R11" s="42" t="s">
        <v>32</v>
      </c>
      <c r="S11" s="42" t="s">
        <v>33</v>
      </c>
      <c r="T11" s="42" t="s">
        <v>34</v>
      </c>
      <c r="U11" s="42" t="s">
        <v>35</v>
      </c>
      <c r="V11" s="42" t="s">
        <v>36</v>
      </c>
      <c r="W11" s="42" t="s">
        <v>37</v>
      </c>
      <c r="X11" s="43" t="s">
        <v>38</v>
      </c>
      <c r="Y11" s="44" t="s">
        <v>26</v>
      </c>
      <c r="Z11" s="44" t="s">
        <v>27</v>
      </c>
      <c r="AA11" s="44" t="s">
        <v>28</v>
      </c>
      <c r="AB11" s="44" t="s">
        <v>29</v>
      </c>
      <c r="AC11" s="44" t="s">
        <v>30</v>
      </c>
      <c r="AD11" s="44" t="s">
        <v>31</v>
      </c>
      <c r="AE11" s="44" t="s">
        <v>32</v>
      </c>
      <c r="AF11" s="44" t="s">
        <v>33</v>
      </c>
      <c r="AG11" s="44" t="s">
        <v>34</v>
      </c>
      <c r="AH11" s="44" t="s">
        <v>35</v>
      </c>
      <c r="AI11" s="44" t="s">
        <v>36</v>
      </c>
      <c r="AJ11" s="44" t="s">
        <v>37</v>
      </c>
      <c r="AK11" s="45" t="s">
        <v>39</v>
      </c>
      <c r="AL11" s="46" t="s">
        <v>26</v>
      </c>
      <c r="AM11" s="46" t="s">
        <v>27</v>
      </c>
      <c r="AN11" s="46" t="s">
        <v>28</v>
      </c>
      <c r="AO11" s="46" t="s">
        <v>29</v>
      </c>
      <c r="AP11" s="46" t="s">
        <v>30</v>
      </c>
      <c r="AQ11" s="46" t="s">
        <v>31</v>
      </c>
      <c r="AR11" s="46" t="s">
        <v>32</v>
      </c>
      <c r="AS11" s="46" t="s">
        <v>33</v>
      </c>
      <c r="AT11" s="46" t="s">
        <v>34</v>
      </c>
      <c r="AU11" s="46" t="s">
        <v>35</v>
      </c>
      <c r="AV11" s="46" t="s">
        <v>36</v>
      </c>
      <c r="AW11" s="46" t="s">
        <v>37</v>
      </c>
      <c r="AX11" s="47" t="s">
        <v>38</v>
      </c>
      <c r="AY11" s="233" t="s">
        <v>167</v>
      </c>
      <c r="AZ11" s="232"/>
      <c r="BA11" s="232"/>
      <c r="BB11" s="251"/>
    </row>
    <row r="12" spans="1:54" s="7" customFormat="1" ht="16.5">
      <c r="A12" s="38" t="s">
        <v>40</v>
      </c>
      <c r="B12" s="39" t="s">
        <v>41</v>
      </c>
      <c r="C12" s="39" t="s">
        <v>42</v>
      </c>
      <c r="D12" s="39" t="s">
        <v>43</v>
      </c>
      <c r="E12" s="39" t="s">
        <v>44</v>
      </c>
      <c r="F12" s="39" t="s">
        <v>45</v>
      </c>
      <c r="G12" s="39"/>
      <c r="H12" s="39" t="s">
        <v>41</v>
      </c>
      <c r="I12" s="39"/>
      <c r="J12" s="41" t="s">
        <v>46</v>
      </c>
      <c r="K12" s="41">
        <v>-3</v>
      </c>
      <c r="L12" s="48">
        <v>4</v>
      </c>
      <c r="M12" s="48">
        <v>4</v>
      </c>
      <c r="N12" s="48">
        <v>4</v>
      </c>
      <c r="O12" s="48">
        <v>-4</v>
      </c>
      <c r="P12" s="48">
        <v>-4</v>
      </c>
      <c r="Q12" s="48">
        <v>-4</v>
      </c>
      <c r="R12" s="48">
        <v>-4</v>
      </c>
      <c r="S12" s="48">
        <v>-4</v>
      </c>
      <c r="T12" s="48">
        <v>-4</v>
      </c>
      <c r="U12" s="48">
        <v>-4</v>
      </c>
      <c r="V12" s="48">
        <v>-4</v>
      </c>
      <c r="W12" s="48">
        <v>-4</v>
      </c>
      <c r="X12" s="49">
        <v>-5</v>
      </c>
      <c r="Y12" s="50">
        <v>6</v>
      </c>
      <c r="Z12" s="50">
        <v>6</v>
      </c>
      <c r="AA12" s="50">
        <v>6</v>
      </c>
      <c r="AB12" s="50">
        <v>-6</v>
      </c>
      <c r="AC12" s="50">
        <v>-6</v>
      </c>
      <c r="AD12" s="50">
        <v>-6</v>
      </c>
      <c r="AE12" s="50">
        <v>-6</v>
      </c>
      <c r="AF12" s="50">
        <v>-6</v>
      </c>
      <c r="AG12" s="50">
        <v>-6</v>
      </c>
      <c r="AH12" s="50">
        <v>-6</v>
      </c>
      <c r="AI12" s="50">
        <v>-6</v>
      </c>
      <c r="AJ12" s="50">
        <v>-6</v>
      </c>
      <c r="AK12" s="41">
        <v>-7</v>
      </c>
      <c r="AL12" s="51">
        <v>8</v>
      </c>
      <c r="AM12" s="51">
        <v>8</v>
      </c>
      <c r="AN12" s="51">
        <v>8</v>
      </c>
      <c r="AO12" s="51">
        <v>-8</v>
      </c>
      <c r="AP12" s="51">
        <v>-8</v>
      </c>
      <c r="AQ12" s="51">
        <v>-8</v>
      </c>
      <c r="AR12" s="51">
        <v>-8</v>
      </c>
      <c r="AS12" s="51">
        <v>-8</v>
      </c>
      <c r="AT12" s="51">
        <v>-8</v>
      </c>
      <c r="AU12" s="51">
        <v>-8</v>
      </c>
      <c r="AV12" s="51">
        <v>-8</v>
      </c>
      <c r="AW12" s="51">
        <v>-8</v>
      </c>
      <c r="AX12" s="52">
        <v>-9</v>
      </c>
      <c r="AY12" s="234"/>
      <c r="AZ12" s="232"/>
      <c r="BA12" s="232"/>
      <c r="BB12" s="251"/>
    </row>
    <row r="13" spans="1:54" s="7" customFormat="1" ht="35.25" customHeight="1">
      <c r="A13" s="53"/>
      <c r="B13" s="54"/>
      <c r="C13" s="55"/>
      <c r="D13" s="54"/>
      <c r="E13" s="54"/>
      <c r="F13" s="54"/>
      <c r="G13" s="54"/>
      <c r="H13" s="54"/>
      <c r="I13" s="54"/>
      <c r="J13" s="56" t="s">
        <v>47</v>
      </c>
      <c r="K13" s="41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8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8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9"/>
      <c r="AY13" s="54"/>
      <c r="AZ13" s="232"/>
      <c r="BA13" s="232"/>
      <c r="BB13" s="251"/>
    </row>
    <row r="14" spans="1:54" s="7" customFormat="1" ht="34.5" customHeight="1">
      <c r="A14" s="60" t="s">
        <v>15</v>
      </c>
      <c r="B14" s="40" t="s">
        <v>48</v>
      </c>
      <c r="C14" s="61" t="s">
        <v>49</v>
      </c>
      <c r="D14" s="61" t="s">
        <v>50</v>
      </c>
      <c r="E14" s="62" t="s">
        <v>49</v>
      </c>
      <c r="F14" s="62" t="s">
        <v>49</v>
      </c>
      <c r="G14" s="62"/>
      <c r="H14" s="61" t="s">
        <v>51</v>
      </c>
      <c r="I14" s="61" t="s">
        <v>52</v>
      </c>
      <c r="J14" s="63" t="s">
        <v>53</v>
      </c>
      <c r="K14" s="210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210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210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210"/>
      <c r="AY14" s="54"/>
      <c r="AZ14" s="232"/>
      <c r="BA14" s="232"/>
      <c r="BB14" s="251"/>
    </row>
    <row r="15" spans="1:54" s="7" customFormat="1" ht="36" customHeight="1">
      <c r="A15" s="60" t="s">
        <v>15</v>
      </c>
      <c r="B15" s="40" t="s">
        <v>48</v>
      </c>
      <c r="C15" s="61" t="s">
        <v>49</v>
      </c>
      <c r="D15" s="61" t="s">
        <v>50</v>
      </c>
      <c r="E15" s="62" t="s">
        <v>49</v>
      </c>
      <c r="F15" s="62" t="s">
        <v>49</v>
      </c>
      <c r="G15" s="62" t="s">
        <v>49</v>
      </c>
      <c r="H15" s="61" t="s">
        <v>51</v>
      </c>
      <c r="I15" s="61" t="s">
        <v>54</v>
      </c>
      <c r="J15" s="65" t="s">
        <v>55</v>
      </c>
      <c r="K15" s="64">
        <f>9400000000-76000000</f>
        <v>9324000000</v>
      </c>
      <c r="L15" s="66">
        <v>613639318.72</v>
      </c>
      <c r="M15" s="66">
        <v>745206809.26</v>
      </c>
      <c r="N15" s="66">
        <v>766438185.91</v>
      </c>
      <c r="O15" s="66">
        <v>756255897.24</v>
      </c>
      <c r="P15" s="66">
        <v>768505441.17</v>
      </c>
      <c r="Q15" s="66"/>
      <c r="R15" s="66"/>
      <c r="S15" s="66"/>
      <c r="T15" s="66"/>
      <c r="U15" s="66"/>
      <c r="V15" s="66"/>
      <c r="W15" s="66"/>
      <c r="X15" s="185">
        <f>SUM(L15:W15)</f>
        <v>3650045652.3</v>
      </c>
      <c r="Y15" s="69">
        <f aca="true" t="shared" si="0" ref="Y15:AA16">+L15</f>
        <v>613639318.72</v>
      </c>
      <c r="Z15" s="69">
        <f t="shared" si="0"/>
        <v>745206809.26</v>
      </c>
      <c r="AA15" s="68">
        <f t="shared" si="0"/>
        <v>766438185.91</v>
      </c>
      <c r="AB15" s="68">
        <f>+O15</f>
        <v>756255897.24</v>
      </c>
      <c r="AC15" s="69">
        <f>+P15</f>
        <v>768505441.17</v>
      </c>
      <c r="AD15" s="69"/>
      <c r="AE15" s="69"/>
      <c r="AF15" s="86"/>
      <c r="AG15" s="69"/>
      <c r="AH15" s="68"/>
      <c r="AI15" s="69"/>
      <c r="AJ15" s="69"/>
      <c r="AK15" s="70">
        <f>SUM(Y15:AJ15)</f>
        <v>3650045652.3</v>
      </c>
      <c r="AL15" s="72">
        <f aca="true" t="shared" si="1" ref="AL15:AN16">+Y15</f>
        <v>613639318.72</v>
      </c>
      <c r="AM15" s="71">
        <f t="shared" si="1"/>
        <v>745206809.26</v>
      </c>
      <c r="AN15" s="72">
        <f t="shared" si="1"/>
        <v>766438185.91</v>
      </c>
      <c r="AO15" s="71">
        <f>+AB15</f>
        <v>756255897.24</v>
      </c>
      <c r="AP15" s="71">
        <f>+AC15</f>
        <v>768505441.17</v>
      </c>
      <c r="AQ15" s="71"/>
      <c r="AR15" s="71"/>
      <c r="AS15" s="72"/>
      <c r="AT15" s="72"/>
      <c r="AU15" s="72"/>
      <c r="AV15" s="71"/>
      <c r="AW15" s="71"/>
      <c r="AX15" s="73">
        <f>SUM(AL15:AW15)</f>
        <v>3650045652.3</v>
      </c>
      <c r="AY15" s="235">
        <f>+K15-X15</f>
        <v>5673954347.7</v>
      </c>
      <c r="AZ15" s="232"/>
      <c r="BA15" s="232"/>
      <c r="BB15" s="251"/>
    </row>
    <row r="16" spans="1:54" s="7" customFormat="1" ht="30" customHeight="1">
      <c r="A16" s="60" t="s">
        <v>15</v>
      </c>
      <c r="B16" s="40" t="s">
        <v>48</v>
      </c>
      <c r="C16" s="61" t="s">
        <v>49</v>
      </c>
      <c r="D16" s="61" t="s">
        <v>50</v>
      </c>
      <c r="E16" s="62" t="s">
        <v>49</v>
      </c>
      <c r="F16" s="62" t="s">
        <v>49</v>
      </c>
      <c r="G16" s="62" t="s">
        <v>56</v>
      </c>
      <c r="H16" s="61" t="s">
        <v>51</v>
      </c>
      <c r="I16" s="61" t="s">
        <v>52</v>
      </c>
      <c r="J16" s="65" t="s">
        <v>57</v>
      </c>
      <c r="K16" s="74">
        <v>600000000</v>
      </c>
      <c r="L16" s="66">
        <v>34811590.4</v>
      </c>
      <c r="M16" s="66">
        <v>10737996.76</v>
      </c>
      <c r="N16" s="66">
        <v>28683483.23</v>
      </c>
      <c r="O16" s="66">
        <v>19492384.39</v>
      </c>
      <c r="P16" s="66">
        <v>25720156.85</v>
      </c>
      <c r="Q16" s="66"/>
      <c r="R16" s="66"/>
      <c r="S16" s="66"/>
      <c r="T16" s="66"/>
      <c r="U16" s="66"/>
      <c r="V16" s="66"/>
      <c r="W16" s="66"/>
      <c r="X16" s="185">
        <f aca="true" t="shared" si="2" ref="X16:X47">SUM(L16:W16)</f>
        <v>119445611.63</v>
      </c>
      <c r="Y16" s="69">
        <f t="shared" si="0"/>
        <v>34811590.4</v>
      </c>
      <c r="Z16" s="69">
        <f t="shared" si="0"/>
        <v>10737996.76</v>
      </c>
      <c r="AA16" s="68">
        <f t="shared" si="0"/>
        <v>28683483.23</v>
      </c>
      <c r="AB16" s="68">
        <f aca="true" t="shared" si="3" ref="AB16:AB36">+O16</f>
        <v>19492384.39</v>
      </c>
      <c r="AC16" s="69">
        <f>+P16</f>
        <v>25720156.85</v>
      </c>
      <c r="AD16" s="69"/>
      <c r="AE16" s="69"/>
      <c r="AF16" s="86"/>
      <c r="AG16" s="69"/>
      <c r="AH16" s="68"/>
      <c r="AI16" s="69"/>
      <c r="AJ16" s="69"/>
      <c r="AK16" s="70">
        <f>SUM(Y16:AJ16)</f>
        <v>119445611.63</v>
      </c>
      <c r="AL16" s="72">
        <f t="shared" si="1"/>
        <v>34811590.4</v>
      </c>
      <c r="AM16" s="71">
        <f t="shared" si="1"/>
        <v>10737996.76</v>
      </c>
      <c r="AN16" s="72">
        <f t="shared" si="1"/>
        <v>28683483.23</v>
      </c>
      <c r="AO16" s="71">
        <f aca="true" t="shared" si="4" ref="AO16:AO36">+AB16</f>
        <v>19492384.39</v>
      </c>
      <c r="AP16" s="71">
        <f>+AC16</f>
        <v>25720156.85</v>
      </c>
      <c r="AQ16" s="71"/>
      <c r="AR16" s="71"/>
      <c r="AS16" s="72"/>
      <c r="AT16" s="72"/>
      <c r="AU16" s="72"/>
      <c r="AV16" s="71"/>
      <c r="AW16" s="71"/>
      <c r="AX16" s="73">
        <f aca="true" t="shared" si="5" ref="AX16:AX47">SUM(AL16:AW16)</f>
        <v>119445611.63</v>
      </c>
      <c r="AY16" s="235">
        <f aca="true" t="shared" si="6" ref="AY16:AY47">+K16-X16</f>
        <v>480554388.37</v>
      </c>
      <c r="AZ16" s="232"/>
      <c r="BA16" s="232"/>
      <c r="BB16" s="251"/>
    </row>
    <row r="17" spans="1:54" s="7" customFormat="1" ht="43.5" customHeight="1">
      <c r="A17" s="60" t="s">
        <v>15</v>
      </c>
      <c r="B17" s="40" t="s">
        <v>48</v>
      </c>
      <c r="C17" s="61">
        <v>1</v>
      </c>
      <c r="D17" s="61" t="s">
        <v>50</v>
      </c>
      <c r="E17" s="62" t="s">
        <v>49</v>
      </c>
      <c r="F17" s="62" t="s">
        <v>49</v>
      </c>
      <c r="G17" s="62" t="s">
        <v>58</v>
      </c>
      <c r="H17" s="61" t="s">
        <v>51</v>
      </c>
      <c r="I17" s="61" t="s">
        <v>52</v>
      </c>
      <c r="J17" s="65" t="s">
        <v>59</v>
      </c>
      <c r="K17" s="70">
        <v>183000000</v>
      </c>
      <c r="L17" s="66"/>
      <c r="M17" s="67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185">
        <f t="shared" si="2"/>
        <v>0</v>
      </c>
      <c r="Y17" s="68"/>
      <c r="Z17" s="68"/>
      <c r="AA17" s="68">
        <f>+N17</f>
        <v>0</v>
      </c>
      <c r="AB17" s="68">
        <f t="shared" si="3"/>
        <v>0</v>
      </c>
      <c r="AC17" s="68"/>
      <c r="AD17" s="68"/>
      <c r="AE17" s="68"/>
      <c r="AF17" s="86"/>
      <c r="AG17" s="68"/>
      <c r="AH17" s="68"/>
      <c r="AI17" s="68"/>
      <c r="AJ17" s="68"/>
      <c r="AK17" s="70">
        <f>SUM(Y17:AJ17)</f>
        <v>0</v>
      </c>
      <c r="AL17" s="72"/>
      <c r="AM17" s="72"/>
      <c r="AN17" s="72">
        <f>+AA17</f>
        <v>0</v>
      </c>
      <c r="AO17" s="71">
        <f t="shared" si="4"/>
        <v>0</v>
      </c>
      <c r="AP17" s="72"/>
      <c r="AQ17" s="72"/>
      <c r="AR17" s="72"/>
      <c r="AS17" s="72"/>
      <c r="AT17" s="195"/>
      <c r="AU17" s="195"/>
      <c r="AV17" s="72"/>
      <c r="AW17" s="72"/>
      <c r="AX17" s="73">
        <f t="shared" si="5"/>
        <v>0</v>
      </c>
      <c r="AY17" s="235">
        <f t="shared" si="6"/>
        <v>183000000</v>
      </c>
      <c r="AZ17" s="232"/>
      <c r="BA17" s="232"/>
      <c r="BB17" s="251"/>
    </row>
    <row r="18" spans="1:54" s="7" customFormat="1" ht="30" customHeight="1">
      <c r="A18" s="60" t="s">
        <v>15</v>
      </c>
      <c r="B18" s="40" t="s">
        <v>48</v>
      </c>
      <c r="C18" s="61">
        <v>1</v>
      </c>
      <c r="D18" s="61" t="s">
        <v>50</v>
      </c>
      <c r="E18" s="62" t="s">
        <v>49</v>
      </c>
      <c r="F18" s="62" t="s">
        <v>58</v>
      </c>
      <c r="G18" s="62"/>
      <c r="H18" s="61" t="s">
        <v>51</v>
      </c>
      <c r="I18" s="61" t="s">
        <v>52</v>
      </c>
      <c r="J18" s="63" t="s">
        <v>60</v>
      </c>
      <c r="K18" s="77"/>
      <c r="L18" s="75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7"/>
      <c r="Z18" s="77"/>
      <c r="AA18" s="77"/>
      <c r="AB18" s="77"/>
      <c r="AC18" s="77"/>
      <c r="AD18" s="77"/>
      <c r="AE18" s="77"/>
      <c r="AF18" s="76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197"/>
      <c r="AU18" s="76"/>
      <c r="AV18" s="77"/>
      <c r="AW18" s="77"/>
      <c r="AX18" s="77"/>
      <c r="AY18" s="236"/>
      <c r="AZ18" s="232"/>
      <c r="BA18" s="232"/>
      <c r="BB18" s="251"/>
    </row>
    <row r="19" spans="1:54" s="7" customFormat="1" ht="30" customHeight="1">
      <c r="A19" s="60" t="s">
        <v>15</v>
      </c>
      <c r="B19" s="40" t="s">
        <v>48</v>
      </c>
      <c r="C19" s="61">
        <v>1</v>
      </c>
      <c r="D19" s="61" t="s">
        <v>50</v>
      </c>
      <c r="E19" s="62" t="s">
        <v>49</v>
      </c>
      <c r="F19" s="62" t="s">
        <v>58</v>
      </c>
      <c r="G19" s="62" t="s">
        <v>49</v>
      </c>
      <c r="H19" s="61" t="s">
        <v>51</v>
      </c>
      <c r="I19" s="61" t="s">
        <v>52</v>
      </c>
      <c r="J19" s="65" t="s">
        <v>61</v>
      </c>
      <c r="K19" s="74">
        <v>431800000</v>
      </c>
      <c r="L19" s="66">
        <v>22970273.1</v>
      </c>
      <c r="M19" s="67">
        <v>21242934.84</v>
      </c>
      <c r="N19" s="67">
        <v>20955850.15</v>
      </c>
      <c r="O19" s="67">
        <v>20396236.38</v>
      </c>
      <c r="P19" s="67">
        <v>21032529.5</v>
      </c>
      <c r="Q19" s="66"/>
      <c r="R19" s="67"/>
      <c r="S19" s="67"/>
      <c r="T19" s="67"/>
      <c r="U19" s="67"/>
      <c r="V19" s="67"/>
      <c r="W19" s="67"/>
      <c r="X19" s="185">
        <f t="shared" si="2"/>
        <v>106597823.97</v>
      </c>
      <c r="Y19" s="68">
        <f aca="true" t="shared" si="7" ref="Y19:AA20">+L19</f>
        <v>22970273.1</v>
      </c>
      <c r="Z19" s="68">
        <f t="shared" si="7"/>
        <v>21242934.84</v>
      </c>
      <c r="AA19" s="68">
        <f t="shared" si="7"/>
        <v>20955850.15</v>
      </c>
      <c r="AB19" s="68">
        <f t="shared" si="3"/>
        <v>20396236.38</v>
      </c>
      <c r="AC19" s="68">
        <f>+P19</f>
        <v>21032529.5</v>
      </c>
      <c r="AD19" s="68"/>
      <c r="AE19" s="68"/>
      <c r="AF19" s="86"/>
      <c r="AG19" s="68"/>
      <c r="AH19" s="68"/>
      <c r="AI19" s="68"/>
      <c r="AJ19" s="68"/>
      <c r="AK19" s="70">
        <f>SUM(Y19:AJ19)</f>
        <v>106597823.97</v>
      </c>
      <c r="AL19" s="72">
        <f aca="true" t="shared" si="8" ref="AL19:AN20">+Y19</f>
        <v>22970273.1</v>
      </c>
      <c r="AM19" s="72">
        <f t="shared" si="8"/>
        <v>21242934.84</v>
      </c>
      <c r="AN19" s="72">
        <f t="shared" si="8"/>
        <v>20955850.15</v>
      </c>
      <c r="AO19" s="71">
        <f t="shared" si="4"/>
        <v>20396236.38</v>
      </c>
      <c r="AP19" s="72">
        <f>+AC19</f>
        <v>21032529.5</v>
      </c>
      <c r="AQ19" s="72"/>
      <c r="AR19" s="72"/>
      <c r="AS19" s="72"/>
      <c r="AT19" s="72"/>
      <c r="AU19" s="72"/>
      <c r="AV19" s="72"/>
      <c r="AW19" s="72"/>
      <c r="AX19" s="73">
        <f t="shared" si="5"/>
        <v>106597823.97</v>
      </c>
      <c r="AY19" s="235">
        <f t="shared" si="6"/>
        <v>325202176.03</v>
      </c>
      <c r="AZ19" s="232"/>
      <c r="BA19" s="232"/>
      <c r="BB19" s="251"/>
    </row>
    <row r="20" spans="1:54" s="7" customFormat="1" ht="30" customHeight="1">
      <c r="A20" s="60" t="s">
        <v>62</v>
      </c>
      <c r="B20" s="40" t="s">
        <v>48</v>
      </c>
      <c r="C20" s="61" t="s">
        <v>49</v>
      </c>
      <c r="D20" s="61" t="s">
        <v>50</v>
      </c>
      <c r="E20" s="62" t="s">
        <v>49</v>
      </c>
      <c r="F20" s="62" t="s">
        <v>58</v>
      </c>
      <c r="G20" s="62" t="s">
        <v>56</v>
      </c>
      <c r="H20" s="61" t="s">
        <v>51</v>
      </c>
      <c r="I20" s="61" t="s">
        <v>52</v>
      </c>
      <c r="J20" s="65" t="s">
        <v>63</v>
      </c>
      <c r="K20" s="64">
        <f>640000000+357000000</f>
        <v>997000000</v>
      </c>
      <c r="L20" s="66">
        <v>45119099.82</v>
      </c>
      <c r="M20" s="67">
        <v>50282538.14</v>
      </c>
      <c r="N20" s="66">
        <v>67393429.45</v>
      </c>
      <c r="O20" s="66">
        <v>66646948.33</v>
      </c>
      <c r="P20" s="66">
        <v>64019920.28</v>
      </c>
      <c r="Q20" s="66"/>
      <c r="R20" s="66"/>
      <c r="S20" s="66"/>
      <c r="T20" s="66"/>
      <c r="U20" s="66"/>
      <c r="V20" s="66"/>
      <c r="W20" s="67"/>
      <c r="X20" s="185">
        <f t="shared" si="2"/>
        <v>293461936.02</v>
      </c>
      <c r="Y20" s="68">
        <f t="shared" si="7"/>
        <v>45119099.82</v>
      </c>
      <c r="Z20" s="68">
        <f t="shared" si="7"/>
        <v>50282538.14</v>
      </c>
      <c r="AA20" s="68">
        <f t="shared" si="7"/>
        <v>67393429.45</v>
      </c>
      <c r="AB20" s="68">
        <f t="shared" si="3"/>
        <v>66646948.33</v>
      </c>
      <c r="AC20" s="68">
        <f>+P20</f>
        <v>64019920.28</v>
      </c>
      <c r="AD20" s="78"/>
      <c r="AE20" s="68"/>
      <c r="AF20" s="86"/>
      <c r="AG20" s="68"/>
      <c r="AH20" s="68"/>
      <c r="AI20" s="68"/>
      <c r="AJ20" s="68"/>
      <c r="AK20" s="70">
        <f>SUM(Y20:AJ20)</f>
        <v>293461936.02</v>
      </c>
      <c r="AL20" s="79">
        <f t="shared" si="8"/>
        <v>45119099.82</v>
      </c>
      <c r="AM20" s="72">
        <f t="shared" si="8"/>
        <v>50282538.14</v>
      </c>
      <c r="AN20" s="72">
        <f t="shared" si="8"/>
        <v>67393429.45</v>
      </c>
      <c r="AO20" s="71">
        <f t="shared" si="4"/>
        <v>66646948.33</v>
      </c>
      <c r="AP20" s="72">
        <f>+AC20</f>
        <v>64019920.28</v>
      </c>
      <c r="AQ20" s="79"/>
      <c r="AR20" s="71"/>
      <c r="AS20" s="72"/>
      <c r="AT20" s="72"/>
      <c r="AU20" s="72"/>
      <c r="AV20" s="71"/>
      <c r="AW20" s="71"/>
      <c r="AX20" s="73">
        <f t="shared" si="5"/>
        <v>293461936.02</v>
      </c>
      <c r="AY20" s="235">
        <f t="shared" si="6"/>
        <v>703538063.98</v>
      </c>
      <c r="AZ20" s="232"/>
      <c r="BA20" s="232"/>
      <c r="BB20" s="252"/>
    </row>
    <row r="21" spans="1:54" s="7" customFormat="1" ht="30" customHeight="1">
      <c r="A21" s="60" t="s">
        <v>15</v>
      </c>
      <c r="B21" s="40" t="s">
        <v>48</v>
      </c>
      <c r="C21" s="61">
        <v>1</v>
      </c>
      <c r="D21" s="61" t="s">
        <v>50</v>
      </c>
      <c r="E21" s="62" t="s">
        <v>49</v>
      </c>
      <c r="F21" s="62" t="s">
        <v>64</v>
      </c>
      <c r="G21" s="62"/>
      <c r="H21" s="61" t="s">
        <v>51</v>
      </c>
      <c r="I21" s="80" t="s">
        <v>52</v>
      </c>
      <c r="J21" s="63" t="s">
        <v>190</v>
      </c>
      <c r="K21" s="81"/>
      <c r="L21" s="81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81"/>
      <c r="Y21" s="77"/>
      <c r="Z21" s="82"/>
      <c r="AA21" s="76"/>
      <c r="AB21" s="77"/>
      <c r="AC21" s="77"/>
      <c r="AD21" s="77"/>
      <c r="AE21" s="77"/>
      <c r="AF21" s="76"/>
      <c r="AG21" s="77"/>
      <c r="AH21" s="77"/>
      <c r="AI21" s="77"/>
      <c r="AJ21" s="77"/>
      <c r="AK21" s="81"/>
      <c r="AL21" s="77"/>
      <c r="AM21" s="77"/>
      <c r="AN21" s="76"/>
      <c r="AO21" s="77"/>
      <c r="AP21" s="77"/>
      <c r="AQ21" s="77"/>
      <c r="AR21" s="77"/>
      <c r="AS21" s="77"/>
      <c r="AT21" s="197"/>
      <c r="AU21" s="76"/>
      <c r="AV21" s="77"/>
      <c r="AW21" s="77"/>
      <c r="AX21" s="81"/>
      <c r="AY21" s="185"/>
      <c r="AZ21" s="232"/>
      <c r="BA21" s="232"/>
      <c r="BB21" s="251"/>
    </row>
    <row r="22" spans="1:54" s="7" customFormat="1" ht="30" customHeight="1">
      <c r="A22" s="60" t="s">
        <v>15</v>
      </c>
      <c r="B22" s="40" t="s">
        <v>48</v>
      </c>
      <c r="C22" s="61">
        <v>1</v>
      </c>
      <c r="D22" s="61" t="s">
        <v>50</v>
      </c>
      <c r="E22" s="62" t="s">
        <v>49</v>
      </c>
      <c r="F22" s="62" t="s">
        <v>64</v>
      </c>
      <c r="G22" s="62" t="s">
        <v>49</v>
      </c>
      <c r="H22" s="61" t="s">
        <v>51</v>
      </c>
      <c r="I22" s="80" t="s">
        <v>52</v>
      </c>
      <c r="J22" s="65" t="s">
        <v>65</v>
      </c>
      <c r="K22" s="64">
        <v>200000000</v>
      </c>
      <c r="L22" s="66">
        <v>12917114.43</v>
      </c>
      <c r="M22" s="67">
        <v>12456461.34</v>
      </c>
      <c r="N22" s="67">
        <v>15220379.93</v>
      </c>
      <c r="O22" s="67">
        <v>15527482</v>
      </c>
      <c r="P22" s="67">
        <v>15527482</v>
      </c>
      <c r="Q22" s="67"/>
      <c r="R22" s="67"/>
      <c r="S22" s="67"/>
      <c r="T22" s="67"/>
      <c r="U22" s="67"/>
      <c r="V22" s="67"/>
      <c r="W22" s="67"/>
      <c r="X22" s="185">
        <f t="shared" si="2"/>
        <v>71648919.7</v>
      </c>
      <c r="Y22" s="68">
        <f aca="true" t="shared" si="9" ref="Y22:Y32">+L22</f>
        <v>12917114.43</v>
      </c>
      <c r="Z22" s="68">
        <f>+M22</f>
        <v>12456461.34</v>
      </c>
      <c r="AA22" s="68">
        <f>+N22</f>
        <v>15220379.93</v>
      </c>
      <c r="AB22" s="68">
        <f t="shared" si="3"/>
        <v>15527482</v>
      </c>
      <c r="AC22" s="68">
        <f>+P22</f>
        <v>15527482</v>
      </c>
      <c r="AD22" s="68"/>
      <c r="AE22" s="68"/>
      <c r="AF22" s="86"/>
      <c r="AG22" s="68"/>
      <c r="AH22" s="68"/>
      <c r="AI22" s="69"/>
      <c r="AJ22" s="69"/>
      <c r="AK22" s="70">
        <f aca="true" t="shared" si="10" ref="AK22:AK33">SUM(Y22:AJ22)</f>
        <v>71648919.7</v>
      </c>
      <c r="AL22" s="72">
        <f aca="true" t="shared" si="11" ref="AL22:AL32">+Y22</f>
        <v>12917114.43</v>
      </c>
      <c r="AM22" s="72">
        <f>+Z22</f>
        <v>12456461.34</v>
      </c>
      <c r="AN22" s="72">
        <f>+AA22</f>
        <v>15220379.93</v>
      </c>
      <c r="AO22" s="71">
        <f t="shared" si="4"/>
        <v>15527482</v>
      </c>
      <c r="AP22" s="72">
        <f>+AC22</f>
        <v>15527482</v>
      </c>
      <c r="AQ22" s="72"/>
      <c r="AR22" s="72"/>
      <c r="AS22" s="72"/>
      <c r="AT22" s="72"/>
      <c r="AU22" s="72"/>
      <c r="AV22" s="72"/>
      <c r="AW22" s="72"/>
      <c r="AX22" s="73">
        <f t="shared" si="5"/>
        <v>71648919.7</v>
      </c>
      <c r="AY22" s="235">
        <f t="shared" si="6"/>
        <v>128351080.3</v>
      </c>
      <c r="AZ22" s="232"/>
      <c r="BA22" s="232"/>
      <c r="BB22" s="251"/>
    </row>
    <row r="23" spans="1:54" s="7" customFormat="1" ht="30" customHeight="1">
      <c r="A23" s="60" t="s">
        <v>15</v>
      </c>
      <c r="B23" s="40" t="s">
        <v>48</v>
      </c>
      <c r="C23" s="61">
        <v>1</v>
      </c>
      <c r="D23" s="61" t="s">
        <v>50</v>
      </c>
      <c r="E23" s="62" t="s">
        <v>49</v>
      </c>
      <c r="F23" s="62" t="s">
        <v>64</v>
      </c>
      <c r="G23" s="62" t="s">
        <v>66</v>
      </c>
      <c r="H23" s="61" t="s">
        <v>51</v>
      </c>
      <c r="I23" s="61" t="s">
        <v>52</v>
      </c>
      <c r="J23" s="65" t="s">
        <v>67</v>
      </c>
      <c r="K23" s="64">
        <v>40000000</v>
      </c>
      <c r="L23" s="66">
        <v>1997567</v>
      </c>
      <c r="M23" s="67">
        <v>2700139</v>
      </c>
      <c r="N23" s="66">
        <v>2656972.5</v>
      </c>
      <c r="O23" s="67">
        <v>2738840</v>
      </c>
      <c r="P23" s="67">
        <v>2829638.5</v>
      </c>
      <c r="Q23" s="67"/>
      <c r="R23" s="67"/>
      <c r="S23" s="67"/>
      <c r="T23" s="67"/>
      <c r="U23" s="67"/>
      <c r="V23" s="67"/>
      <c r="W23" s="67"/>
      <c r="X23" s="185">
        <f t="shared" si="2"/>
        <v>12923157</v>
      </c>
      <c r="Y23" s="68">
        <f t="shared" si="9"/>
        <v>1997567</v>
      </c>
      <c r="Z23" s="68">
        <f>+M23</f>
        <v>2700139</v>
      </c>
      <c r="AA23" s="68">
        <f aca="true" t="shared" si="12" ref="AA23:AA33">+N23</f>
        <v>2656972.5</v>
      </c>
      <c r="AB23" s="68">
        <f t="shared" si="3"/>
        <v>2738840</v>
      </c>
      <c r="AC23" s="68">
        <f aca="true" t="shared" si="13" ref="AC23:AC33">+P23</f>
        <v>2829638.5</v>
      </c>
      <c r="AD23" s="68"/>
      <c r="AE23" s="68"/>
      <c r="AF23" s="86"/>
      <c r="AG23" s="68"/>
      <c r="AH23" s="68"/>
      <c r="AI23" s="69"/>
      <c r="AJ23" s="69"/>
      <c r="AK23" s="70">
        <f t="shared" si="10"/>
        <v>12923157</v>
      </c>
      <c r="AL23" s="72">
        <f t="shared" si="11"/>
        <v>1997567</v>
      </c>
      <c r="AM23" s="72">
        <f>+Z23</f>
        <v>2700139</v>
      </c>
      <c r="AN23" s="72">
        <f aca="true" t="shared" si="14" ref="AN23:AN33">+AA23</f>
        <v>2656972.5</v>
      </c>
      <c r="AO23" s="71">
        <f t="shared" si="4"/>
        <v>2738840</v>
      </c>
      <c r="AP23" s="72">
        <f aca="true" t="shared" si="15" ref="AP23:AP33">+AC23</f>
        <v>2829638.5</v>
      </c>
      <c r="AQ23" s="72"/>
      <c r="AR23" s="72"/>
      <c r="AS23" s="72"/>
      <c r="AT23" s="72"/>
      <c r="AU23" s="72"/>
      <c r="AV23" s="72"/>
      <c r="AW23" s="72"/>
      <c r="AX23" s="73">
        <f t="shared" si="5"/>
        <v>12923157</v>
      </c>
      <c r="AY23" s="235">
        <f t="shared" si="6"/>
        <v>27076843</v>
      </c>
      <c r="AZ23" s="232"/>
      <c r="BA23" s="232"/>
      <c r="BB23" s="251"/>
    </row>
    <row r="24" spans="1:54" s="7" customFormat="1" ht="30" customHeight="1">
      <c r="A24" s="60" t="s">
        <v>15</v>
      </c>
      <c r="B24" s="40" t="s">
        <v>48</v>
      </c>
      <c r="C24" s="61">
        <v>1</v>
      </c>
      <c r="D24" s="61" t="s">
        <v>50</v>
      </c>
      <c r="E24" s="62" t="s">
        <v>49</v>
      </c>
      <c r="F24" s="62" t="s">
        <v>64</v>
      </c>
      <c r="G24" s="62" t="s">
        <v>68</v>
      </c>
      <c r="H24" s="61" t="s">
        <v>51</v>
      </c>
      <c r="I24" s="61" t="s">
        <v>52</v>
      </c>
      <c r="J24" s="65" t="s">
        <v>69</v>
      </c>
      <c r="K24" s="64">
        <v>45000000</v>
      </c>
      <c r="L24" s="66">
        <v>2636700</v>
      </c>
      <c r="M24" s="66">
        <v>3346400</v>
      </c>
      <c r="N24" s="66">
        <v>3489750</v>
      </c>
      <c r="O24" s="67">
        <v>3548500</v>
      </c>
      <c r="P24" s="67">
        <v>3602550</v>
      </c>
      <c r="Q24" s="67"/>
      <c r="R24" s="67"/>
      <c r="S24" s="67"/>
      <c r="T24" s="67"/>
      <c r="U24" s="67"/>
      <c r="V24" s="67"/>
      <c r="W24" s="67"/>
      <c r="X24" s="185">
        <f t="shared" si="2"/>
        <v>16623900</v>
      </c>
      <c r="Y24" s="84">
        <f t="shared" si="9"/>
        <v>2636700</v>
      </c>
      <c r="Z24" s="68">
        <f>+M24</f>
        <v>3346400</v>
      </c>
      <c r="AA24" s="68">
        <f t="shared" si="12"/>
        <v>3489750</v>
      </c>
      <c r="AB24" s="68">
        <f t="shared" si="3"/>
        <v>3548500</v>
      </c>
      <c r="AC24" s="68">
        <f t="shared" si="13"/>
        <v>3602550</v>
      </c>
      <c r="AD24" s="84"/>
      <c r="AE24" s="68"/>
      <c r="AF24" s="86"/>
      <c r="AG24" s="68"/>
      <c r="AH24" s="68"/>
      <c r="AI24" s="69"/>
      <c r="AJ24" s="69"/>
      <c r="AK24" s="70">
        <f t="shared" si="10"/>
        <v>16623900</v>
      </c>
      <c r="AL24" s="72">
        <f t="shared" si="11"/>
        <v>2636700</v>
      </c>
      <c r="AM24" s="72">
        <f>+Z24</f>
        <v>3346400</v>
      </c>
      <c r="AN24" s="72">
        <f t="shared" si="14"/>
        <v>3489750</v>
      </c>
      <c r="AO24" s="71">
        <f t="shared" si="4"/>
        <v>3548500</v>
      </c>
      <c r="AP24" s="72">
        <f t="shared" si="15"/>
        <v>3602550</v>
      </c>
      <c r="AQ24" s="72"/>
      <c r="AR24" s="72"/>
      <c r="AS24" s="72"/>
      <c r="AT24" s="72"/>
      <c r="AU24" s="72"/>
      <c r="AV24" s="72"/>
      <c r="AW24" s="72"/>
      <c r="AX24" s="73">
        <f t="shared" si="5"/>
        <v>16623900</v>
      </c>
      <c r="AY24" s="235">
        <f t="shared" si="6"/>
        <v>28376100</v>
      </c>
      <c r="AZ24" s="232"/>
      <c r="BA24" s="232"/>
      <c r="BB24" s="251"/>
    </row>
    <row r="25" spans="1:54" s="7" customFormat="1" ht="30" customHeight="1">
      <c r="A25" s="60" t="s">
        <v>15</v>
      </c>
      <c r="B25" s="40" t="s">
        <v>48</v>
      </c>
      <c r="C25" s="61">
        <v>1</v>
      </c>
      <c r="D25" s="61" t="s">
        <v>50</v>
      </c>
      <c r="E25" s="62" t="s">
        <v>49</v>
      </c>
      <c r="F25" s="62" t="s">
        <v>64</v>
      </c>
      <c r="G25" s="62" t="s">
        <v>70</v>
      </c>
      <c r="H25" s="61" t="s">
        <v>51</v>
      </c>
      <c r="I25" s="61" t="s">
        <v>52</v>
      </c>
      <c r="J25" s="65" t="s">
        <v>71</v>
      </c>
      <c r="K25" s="64">
        <v>550000000</v>
      </c>
      <c r="L25" s="66">
        <v>1232480</v>
      </c>
      <c r="M25" s="67"/>
      <c r="N25" s="67">
        <v>4619531</v>
      </c>
      <c r="O25" s="67">
        <v>1953111</v>
      </c>
      <c r="P25" s="67">
        <v>4180559</v>
      </c>
      <c r="Q25" s="67"/>
      <c r="R25" s="67"/>
      <c r="S25" s="67"/>
      <c r="T25" s="67"/>
      <c r="U25" s="67"/>
      <c r="V25" s="67"/>
      <c r="W25" s="67"/>
      <c r="X25" s="185">
        <f t="shared" si="2"/>
        <v>11985681</v>
      </c>
      <c r="Y25" s="68">
        <f t="shared" si="9"/>
        <v>1232480</v>
      </c>
      <c r="Z25" s="68"/>
      <c r="AA25" s="68">
        <f t="shared" si="12"/>
        <v>4619531</v>
      </c>
      <c r="AB25" s="68">
        <f t="shared" si="3"/>
        <v>1953111</v>
      </c>
      <c r="AC25" s="68">
        <f t="shared" si="13"/>
        <v>4180559</v>
      </c>
      <c r="AD25" s="68"/>
      <c r="AE25" s="68"/>
      <c r="AF25" s="86"/>
      <c r="AG25" s="68"/>
      <c r="AH25" s="68"/>
      <c r="AI25" s="69"/>
      <c r="AJ25" s="69"/>
      <c r="AK25" s="70">
        <f t="shared" si="10"/>
        <v>11985681</v>
      </c>
      <c r="AL25" s="72">
        <f t="shared" si="11"/>
        <v>1232480</v>
      </c>
      <c r="AM25" s="72"/>
      <c r="AN25" s="72">
        <f t="shared" si="14"/>
        <v>4619531</v>
      </c>
      <c r="AO25" s="71">
        <f t="shared" si="4"/>
        <v>1953111</v>
      </c>
      <c r="AP25" s="72">
        <f t="shared" si="15"/>
        <v>4180559</v>
      </c>
      <c r="AQ25" s="72"/>
      <c r="AR25" s="72"/>
      <c r="AS25" s="72"/>
      <c r="AT25" s="72"/>
      <c r="AU25" s="72"/>
      <c r="AV25" s="72"/>
      <c r="AW25" s="72"/>
      <c r="AX25" s="73">
        <f t="shared" si="5"/>
        <v>11985681</v>
      </c>
      <c r="AY25" s="235">
        <f t="shared" si="6"/>
        <v>538014319</v>
      </c>
      <c r="AZ25" s="232"/>
      <c r="BA25" s="232"/>
      <c r="BB25" s="251"/>
    </row>
    <row r="26" spans="1:54" s="7" customFormat="1" ht="30" customHeight="1">
      <c r="A26" s="60" t="s">
        <v>15</v>
      </c>
      <c r="B26" s="40" t="s">
        <v>48</v>
      </c>
      <c r="C26" s="61">
        <v>1</v>
      </c>
      <c r="D26" s="61" t="s">
        <v>50</v>
      </c>
      <c r="E26" s="62" t="s">
        <v>49</v>
      </c>
      <c r="F26" s="62" t="s">
        <v>64</v>
      </c>
      <c r="G26" s="62" t="s">
        <v>72</v>
      </c>
      <c r="H26" s="61" t="s">
        <v>51</v>
      </c>
      <c r="I26" s="61" t="s">
        <v>52</v>
      </c>
      <c r="J26" s="65" t="s">
        <v>73</v>
      </c>
      <c r="K26" s="64">
        <v>600000000</v>
      </c>
      <c r="L26" s="66">
        <v>29005980</v>
      </c>
      <c r="M26" s="66">
        <v>9351740.5</v>
      </c>
      <c r="N26" s="66">
        <v>23141036.5</v>
      </c>
      <c r="O26" s="67">
        <v>16038832</v>
      </c>
      <c r="P26" s="67">
        <v>22114441.5</v>
      </c>
      <c r="Q26" s="67"/>
      <c r="R26" s="67"/>
      <c r="S26" s="67"/>
      <c r="T26" s="67"/>
      <c r="U26" s="67"/>
      <c r="V26" s="67"/>
      <c r="W26" s="67"/>
      <c r="X26" s="185">
        <f t="shared" si="2"/>
        <v>99652030.5</v>
      </c>
      <c r="Y26" s="68">
        <f t="shared" si="9"/>
        <v>29005980</v>
      </c>
      <c r="Z26" s="68">
        <f>+M26</f>
        <v>9351740.5</v>
      </c>
      <c r="AA26" s="68">
        <f t="shared" si="12"/>
        <v>23141036.5</v>
      </c>
      <c r="AB26" s="68">
        <f t="shared" si="3"/>
        <v>16038832</v>
      </c>
      <c r="AC26" s="68">
        <f t="shared" si="13"/>
        <v>22114441.5</v>
      </c>
      <c r="AD26" s="68"/>
      <c r="AE26" s="68"/>
      <c r="AF26" s="86"/>
      <c r="AG26" s="68"/>
      <c r="AH26" s="68"/>
      <c r="AI26" s="69"/>
      <c r="AJ26" s="69"/>
      <c r="AK26" s="70">
        <f t="shared" si="10"/>
        <v>99652030.5</v>
      </c>
      <c r="AL26" s="72">
        <f t="shared" si="11"/>
        <v>29005980</v>
      </c>
      <c r="AM26" s="72">
        <f>+Z26</f>
        <v>9351740.5</v>
      </c>
      <c r="AN26" s="72">
        <f t="shared" si="14"/>
        <v>23141036.5</v>
      </c>
      <c r="AO26" s="71">
        <f t="shared" si="4"/>
        <v>16038832</v>
      </c>
      <c r="AP26" s="72">
        <f t="shared" si="15"/>
        <v>22114441.5</v>
      </c>
      <c r="AQ26" s="72"/>
      <c r="AR26" s="72"/>
      <c r="AS26" s="72"/>
      <c r="AT26" s="72"/>
      <c r="AU26" s="72"/>
      <c r="AV26" s="72"/>
      <c r="AW26" s="72"/>
      <c r="AX26" s="73">
        <f t="shared" si="5"/>
        <v>99652030.5</v>
      </c>
      <c r="AY26" s="235">
        <f t="shared" si="6"/>
        <v>500347969.5</v>
      </c>
      <c r="AZ26" s="232"/>
      <c r="BA26" s="232"/>
      <c r="BB26" s="251"/>
    </row>
    <row r="27" spans="1:54" s="7" customFormat="1" ht="30" customHeight="1">
      <c r="A27" s="60" t="s">
        <v>15</v>
      </c>
      <c r="B27" s="40" t="s">
        <v>48</v>
      </c>
      <c r="C27" s="61">
        <v>1</v>
      </c>
      <c r="D27" s="61" t="s">
        <v>50</v>
      </c>
      <c r="E27" s="62" t="s">
        <v>49</v>
      </c>
      <c r="F27" s="62" t="s">
        <v>64</v>
      </c>
      <c r="G27" s="62" t="s">
        <v>74</v>
      </c>
      <c r="H27" s="61" t="s">
        <v>51</v>
      </c>
      <c r="I27" s="61" t="s">
        <v>52</v>
      </c>
      <c r="J27" s="65" t="s">
        <v>75</v>
      </c>
      <c r="K27" s="64">
        <f>1200000000-91000000-73000000</f>
        <v>1036000000</v>
      </c>
      <c r="L27" s="66">
        <v>197379</v>
      </c>
      <c r="M27" s="66"/>
      <c r="N27" s="66">
        <v>5073287</v>
      </c>
      <c r="O27" s="66">
        <v>601466</v>
      </c>
      <c r="P27" s="66">
        <v>5279617</v>
      </c>
      <c r="Q27" s="66"/>
      <c r="R27" s="66"/>
      <c r="S27" s="66"/>
      <c r="T27" s="66"/>
      <c r="U27" s="66"/>
      <c r="V27" s="66"/>
      <c r="W27" s="66"/>
      <c r="X27" s="185">
        <f t="shared" si="2"/>
        <v>11151749</v>
      </c>
      <c r="Y27" s="68">
        <f t="shared" si="9"/>
        <v>197379</v>
      </c>
      <c r="Z27" s="68"/>
      <c r="AA27" s="68">
        <f t="shared" si="12"/>
        <v>5073287</v>
      </c>
      <c r="AB27" s="68">
        <f t="shared" si="3"/>
        <v>601466</v>
      </c>
      <c r="AC27" s="68">
        <f t="shared" si="13"/>
        <v>5279617</v>
      </c>
      <c r="AD27" s="68"/>
      <c r="AE27" s="68"/>
      <c r="AF27" s="86"/>
      <c r="AG27" s="68"/>
      <c r="AH27" s="68"/>
      <c r="AI27" s="69"/>
      <c r="AJ27" s="69"/>
      <c r="AK27" s="70">
        <f t="shared" si="10"/>
        <v>11151749</v>
      </c>
      <c r="AL27" s="72">
        <f t="shared" si="11"/>
        <v>197379</v>
      </c>
      <c r="AM27" s="72"/>
      <c r="AN27" s="72">
        <f t="shared" si="14"/>
        <v>5073287</v>
      </c>
      <c r="AO27" s="71">
        <f t="shared" si="4"/>
        <v>601466</v>
      </c>
      <c r="AP27" s="72">
        <f t="shared" si="15"/>
        <v>5279617</v>
      </c>
      <c r="AQ27" s="72"/>
      <c r="AR27" s="72"/>
      <c r="AS27" s="72"/>
      <c r="AT27" s="72"/>
      <c r="AU27" s="72"/>
      <c r="AV27" s="72"/>
      <c r="AW27" s="72"/>
      <c r="AX27" s="73">
        <f t="shared" si="5"/>
        <v>11151749</v>
      </c>
      <c r="AY27" s="235">
        <f t="shared" si="6"/>
        <v>1024848251</v>
      </c>
      <c r="AZ27" s="232"/>
      <c r="BA27" s="232"/>
      <c r="BB27" s="251"/>
    </row>
    <row r="28" spans="1:54" s="7" customFormat="1" ht="30" customHeight="1">
      <c r="A28" s="60" t="s">
        <v>15</v>
      </c>
      <c r="B28" s="40" t="s">
        <v>48</v>
      </c>
      <c r="C28" s="61">
        <v>1</v>
      </c>
      <c r="D28" s="61" t="s">
        <v>50</v>
      </c>
      <c r="E28" s="62" t="s">
        <v>49</v>
      </c>
      <c r="F28" s="62" t="s">
        <v>64</v>
      </c>
      <c r="G28" s="62" t="s">
        <v>76</v>
      </c>
      <c r="H28" s="61" t="s">
        <v>51</v>
      </c>
      <c r="I28" s="61" t="s">
        <v>52</v>
      </c>
      <c r="J28" s="65" t="s">
        <v>77</v>
      </c>
      <c r="K28" s="64">
        <v>10000000</v>
      </c>
      <c r="L28" s="66">
        <v>803772.34</v>
      </c>
      <c r="M28" s="66">
        <v>613287.6</v>
      </c>
      <c r="N28" s="66">
        <v>657773.52</v>
      </c>
      <c r="O28" s="67">
        <v>647749.22</v>
      </c>
      <c r="P28" s="67">
        <v>644080.82</v>
      </c>
      <c r="Q28" s="67"/>
      <c r="R28" s="67"/>
      <c r="S28" s="67"/>
      <c r="T28" s="67"/>
      <c r="U28" s="67"/>
      <c r="V28" s="67"/>
      <c r="W28" s="67"/>
      <c r="X28" s="185">
        <f t="shared" si="2"/>
        <v>3366663.4999999995</v>
      </c>
      <c r="Y28" s="68">
        <f t="shared" si="9"/>
        <v>803772.34</v>
      </c>
      <c r="Z28" s="68">
        <f aca="true" t="shared" si="16" ref="Z28:Z33">+M28</f>
        <v>613287.6</v>
      </c>
      <c r="AA28" s="68">
        <f t="shared" si="12"/>
        <v>657773.52</v>
      </c>
      <c r="AB28" s="68">
        <f t="shared" si="3"/>
        <v>647749.22</v>
      </c>
      <c r="AC28" s="68">
        <f t="shared" si="13"/>
        <v>644080.82</v>
      </c>
      <c r="AD28" s="68"/>
      <c r="AE28" s="68"/>
      <c r="AF28" s="86"/>
      <c r="AG28" s="68"/>
      <c r="AH28" s="68"/>
      <c r="AI28" s="69"/>
      <c r="AJ28" s="69"/>
      <c r="AK28" s="70">
        <f t="shared" si="10"/>
        <v>3366663.4999999995</v>
      </c>
      <c r="AL28" s="72">
        <f t="shared" si="11"/>
        <v>803772.34</v>
      </c>
      <c r="AM28" s="72">
        <f aca="true" t="shared" si="17" ref="AM28:AM33">+Z28</f>
        <v>613287.6</v>
      </c>
      <c r="AN28" s="72">
        <f t="shared" si="14"/>
        <v>657773.52</v>
      </c>
      <c r="AO28" s="71">
        <f t="shared" si="4"/>
        <v>647749.22</v>
      </c>
      <c r="AP28" s="72">
        <f t="shared" si="15"/>
        <v>644080.82</v>
      </c>
      <c r="AQ28" s="72"/>
      <c r="AR28" s="72"/>
      <c r="AS28" s="72"/>
      <c r="AT28" s="72"/>
      <c r="AU28" s="72"/>
      <c r="AV28" s="72"/>
      <c r="AW28" s="72"/>
      <c r="AX28" s="73">
        <f t="shared" si="5"/>
        <v>3366663.4999999995</v>
      </c>
      <c r="AY28" s="235">
        <f t="shared" si="6"/>
        <v>6633336.5</v>
      </c>
      <c r="AZ28" s="232"/>
      <c r="BA28" s="232"/>
      <c r="BB28" s="251"/>
    </row>
    <row r="29" spans="1:54" s="7" customFormat="1" ht="30" customHeight="1">
      <c r="A29" s="60" t="s">
        <v>15</v>
      </c>
      <c r="B29" s="40" t="s">
        <v>48</v>
      </c>
      <c r="C29" s="61">
        <v>1</v>
      </c>
      <c r="D29" s="61" t="s">
        <v>50</v>
      </c>
      <c r="E29" s="62" t="s">
        <v>49</v>
      </c>
      <c r="F29" s="62" t="s">
        <v>64</v>
      </c>
      <c r="G29" s="62" t="s">
        <v>56</v>
      </c>
      <c r="H29" s="61" t="s">
        <v>51</v>
      </c>
      <c r="I29" s="61" t="s">
        <v>52</v>
      </c>
      <c r="J29" s="65" t="s">
        <v>78</v>
      </c>
      <c r="K29" s="64">
        <v>218000000</v>
      </c>
      <c r="L29" s="66">
        <v>21703551.75</v>
      </c>
      <c r="M29" s="66">
        <v>29937938.43</v>
      </c>
      <c r="N29" s="66">
        <v>21295606.65</v>
      </c>
      <c r="O29" s="67">
        <v>16142845.15</v>
      </c>
      <c r="P29" s="67">
        <v>19211561.5</v>
      </c>
      <c r="Q29" s="67"/>
      <c r="R29" s="67"/>
      <c r="S29" s="67"/>
      <c r="T29" s="67"/>
      <c r="U29" s="67"/>
      <c r="V29" s="67"/>
      <c r="W29" s="67"/>
      <c r="X29" s="185">
        <f t="shared" si="2"/>
        <v>108291503.48</v>
      </c>
      <c r="Y29" s="68">
        <f t="shared" si="9"/>
        <v>21703551.75</v>
      </c>
      <c r="Z29" s="68">
        <f t="shared" si="16"/>
        <v>29937938.43</v>
      </c>
      <c r="AA29" s="68">
        <f t="shared" si="12"/>
        <v>21295606.65</v>
      </c>
      <c r="AB29" s="68">
        <f t="shared" si="3"/>
        <v>16142845.15</v>
      </c>
      <c r="AC29" s="68">
        <f t="shared" si="13"/>
        <v>19211561.5</v>
      </c>
      <c r="AD29" s="68"/>
      <c r="AE29" s="68"/>
      <c r="AF29" s="86"/>
      <c r="AG29" s="68"/>
      <c r="AH29" s="68"/>
      <c r="AI29" s="69"/>
      <c r="AJ29" s="69"/>
      <c r="AK29" s="70">
        <f t="shared" si="10"/>
        <v>108291503.48</v>
      </c>
      <c r="AL29" s="72">
        <f t="shared" si="11"/>
        <v>21703551.75</v>
      </c>
      <c r="AM29" s="72">
        <f t="shared" si="17"/>
        <v>29937938.43</v>
      </c>
      <c r="AN29" s="72">
        <f t="shared" si="14"/>
        <v>21295606.65</v>
      </c>
      <c r="AO29" s="71">
        <f t="shared" si="4"/>
        <v>16142845.15</v>
      </c>
      <c r="AP29" s="72">
        <f t="shared" si="15"/>
        <v>19211561.5</v>
      </c>
      <c r="AQ29" s="72"/>
      <c r="AR29" s="72"/>
      <c r="AS29" s="72"/>
      <c r="AT29" s="72"/>
      <c r="AU29" s="72"/>
      <c r="AV29" s="72"/>
      <c r="AW29" s="72"/>
      <c r="AX29" s="73">
        <f t="shared" si="5"/>
        <v>108291503.48</v>
      </c>
      <c r="AY29" s="235">
        <f t="shared" si="6"/>
        <v>109708496.52</v>
      </c>
      <c r="AZ29" s="232"/>
      <c r="BA29" s="232"/>
      <c r="BB29" s="251"/>
    </row>
    <row r="30" spans="1:54" s="7" customFormat="1" ht="30" customHeight="1">
      <c r="A30" s="60" t="s">
        <v>15</v>
      </c>
      <c r="B30" s="40" t="s">
        <v>48</v>
      </c>
      <c r="C30" s="61">
        <v>1</v>
      </c>
      <c r="D30" s="61" t="s">
        <v>50</v>
      </c>
      <c r="E30" s="62" t="s">
        <v>49</v>
      </c>
      <c r="F30" s="62" t="s">
        <v>64</v>
      </c>
      <c r="G30" s="62" t="s">
        <v>79</v>
      </c>
      <c r="H30" s="61" t="s">
        <v>51</v>
      </c>
      <c r="I30" s="61" t="s">
        <v>52</v>
      </c>
      <c r="J30" s="65" t="s">
        <v>80</v>
      </c>
      <c r="K30" s="64">
        <v>40000000</v>
      </c>
      <c r="L30" s="66">
        <v>3115667</v>
      </c>
      <c r="M30" s="66">
        <v>3115667</v>
      </c>
      <c r="N30" s="66">
        <v>3115667</v>
      </c>
      <c r="O30" s="67">
        <v>3115667</v>
      </c>
      <c r="P30" s="67">
        <v>3115667</v>
      </c>
      <c r="Q30" s="67"/>
      <c r="R30" s="67"/>
      <c r="S30" s="67"/>
      <c r="T30" s="67"/>
      <c r="U30" s="67"/>
      <c r="V30" s="67"/>
      <c r="W30" s="67"/>
      <c r="X30" s="185">
        <f t="shared" si="2"/>
        <v>15578335</v>
      </c>
      <c r="Y30" s="68">
        <f t="shared" si="9"/>
        <v>3115667</v>
      </c>
      <c r="Z30" s="68">
        <f t="shared" si="16"/>
        <v>3115667</v>
      </c>
      <c r="AA30" s="68">
        <f t="shared" si="12"/>
        <v>3115667</v>
      </c>
      <c r="AB30" s="68">
        <f t="shared" si="3"/>
        <v>3115667</v>
      </c>
      <c r="AC30" s="68">
        <f t="shared" si="13"/>
        <v>3115667</v>
      </c>
      <c r="AD30" s="68"/>
      <c r="AE30" s="68"/>
      <c r="AF30" s="86"/>
      <c r="AG30" s="68"/>
      <c r="AH30" s="68"/>
      <c r="AI30" s="69"/>
      <c r="AJ30" s="69"/>
      <c r="AK30" s="70">
        <f t="shared" si="10"/>
        <v>15578335</v>
      </c>
      <c r="AL30" s="72">
        <f t="shared" si="11"/>
        <v>3115667</v>
      </c>
      <c r="AM30" s="72">
        <f t="shared" si="17"/>
        <v>3115667</v>
      </c>
      <c r="AN30" s="72">
        <f t="shared" si="14"/>
        <v>3115667</v>
      </c>
      <c r="AO30" s="71">
        <f t="shared" si="4"/>
        <v>3115667</v>
      </c>
      <c r="AP30" s="72">
        <f t="shared" si="15"/>
        <v>3115667</v>
      </c>
      <c r="AQ30" s="72"/>
      <c r="AR30" s="72"/>
      <c r="AS30" s="72"/>
      <c r="AT30" s="72"/>
      <c r="AU30" s="72"/>
      <c r="AV30" s="72"/>
      <c r="AW30" s="72"/>
      <c r="AX30" s="73">
        <f t="shared" si="5"/>
        <v>15578335</v>
      </c>
      <c r="AY30" s="235">
        <f t="shared" si="6"/>
        <v>24421665</v>
      </c>
      <c r="AZ30" s="232"/>
      <c r="BA30" s="232"/>
      <c r="BB30" s="251"/>
    </row>
    <row r="31" spans="1:54" s="7" customFormat="1" ht="30" customHeight="1">
      <c r="A31" s="60" t="s">
        <v>15</v>
      </c>
      <c r="B31" s="40" t="s">
        <v>48</v>
      </c>
      <c r="C31" s="61">
        <v>1</v>
      </c>
      <c r="D31" s="61" t="s">
        <v>50</v>
      </c>
      <c r="E31" s="62" t="s">
        <v>49</v>
      </c>
      <c r="F31" s="62" t="s">
        <v>64</v>
      </c>
      <c r="G31" s="62" t="s">
        <v>81</v>
      </c>
      <c r="H31" s="61" t="s">
        <v>51</v>
      </c>
      <c r="I31" s="61" t="s">
        <v>52</v>
      </c>
      <c r="J31" s="65" t="s">
        <v>82</v>
      </c>
      <c r="K31" s="64">
        <f>140900000+91000000</f>
        <v>231900000</v>
      </c>
      <c r="L31" s="66">
        <v>15245240.18</v>
      </c>
      <c r="M31" s="67">
        <v>16621855.44</v>
      </c>
      <c r="N31" s="67">
        <v>17286096.45</v>
      </c>
      <c r="O31" s="67">
        <v>16998025.3</v>
      </c>
      <c r="P31" s="67">
        <v>18695227.17</v>
      </c>
      <c r="Q31" s="67"/>
      <c r="R31" s="67"/>
      <c r="S31" s="67"/>
      <c r="T31" s="67"/>
      <c r="U31" s="67"/>
      <c r="V31" s="67"/>
      <c r="W31" s="67"/>
      <c r="X31" s="185">
        <f t="shared" si="2"/>
        <v>84846444.53999999</v>
      </c>
      <c r="Y31" s="68">
        <f t="shared" si="9"/>
        <v>15245240.18</v>
      </c>
      <c r="Z31" s="68">
        <f t="shared" si="16"/>
        <v>16621855.44</v>
      </c>
      <c r="AA31" s="68">
        <f t="shared" si="12"/>
        <v>17286096.45</v>
      </c>
      <c r="AB31" s="68">
        <f t="shared" si="3"/>
        <v>16998025.3</v>
      </c>
      <c r="AC31" s="68">
        <f t="shared" si="13"/>
        <v>18695227.17</v>
      </c>
      <c r="AD31" s="68"/>
      <c r="AE31" s="68"/>
      <c r="AF31" s="86"/>
      <c r="AG31" s="68"/>
      <c r="AH31" s="68"/>
      <c r="AI31" s="69"/>
      <c r="AJ31" s="69"/>
      <c r="AK31" s="70">
        <f t="shared" si="10"/>
        <v>84846444.53999999</v>
      </c>
      <c r="AL31" s="72">
        <f t="shared" si="11"/>
        <v>15245240.18</v>
      </c>
      <c r="AM31" s="72">
        <f t="shared" si="17"/>
        <v>16621855.44</v>
      </c>
      <c r="AN31" s="72">
        <f t="shared" si="14"/>
        <v>17286096.45</v>
      </c>
      <c r="AO31" s="71">
        <f t="shared" si="4"/>
        <v>16998025.3</v>
      </c>
      <c r="AP31" s="72">
        <f t="shared" si="15"/>
        <v>18695227.17</v>
      </c>
      <c r="AQ31" s="72"/>
      <c r="AR31" s="72"/>
      <c r="AS31" s="72"/>
      <c r="AT31" s="72"/>
      <c r="AU31" s="72"/>
      <c r="AV31" s="72"/>
      <c r="AW31" s="72"/>
      <c r="AX31" s="73">
        <f t="shared" si="5"/>
        <v>84846444.53999999</v>
      </c>
      <c r="AY31" s="235">
        <f t="shared" si="6"/>
        <v>147053555.46</v>
      </c>
      <c r="AZ31" s="232"/>
      <c r="BA31" s="232"/>
      <c r="BB31" s="251"/>
    </row>
    <row r="32" spans="1:54" s="7" customFormat="1" ht="30" customHeight="1">
      <c r="A32" s="60" t="s">
        <v>15</v>
      </c>
      <c r="B32" s="40" t="s">
        <v>48</v>
      </c>
      <c r="C32" s="61">
        <v>1</v>
      </c>
      <c r="D32" s="61" t="s">
        <v>50</v>
      </c>
      <c r="E32" s="62" t="s">
        <v>49</v>
      </c>
      <c r="F32" s="62" t="s">
        <v>64</v>
      </c>
      <c r="G32" s="62" t="s">
        <v>64</v>
      </c>
      <c r="H32" s="61" t="s">
        <v>51</v>
      </c>
      <c r="I32" s="61" t="s">
        <v>52</v>
      </c>
      <c r="J32" s="65" t="s">
        <v>83</v>
      </c>
      <c r="K32" s="64">
        <v>40000000</v>
      </c>
      <c r="L32" s="66">
        <v>2857987.87</v>
      </c>
      <c r="M32" s="66">
        <v>978712</v>
      </c>
      <c r="N32" s="66">
        <v>2590101.86</v>
      </c>
      <c r="O32" s="67">
        <v>2007133.87</v>
      </c>
      <c r="P32" s="67">
        <v>2738766.61</v>
      </c>
      <c r="Q32" s="67"/>
      <c r="R32" s="67"/>
      <c r="S32" s="67"/>
      <c r="T32" s="67"/>
      <c r="U32" s="67"/>
      <c r="V32" s="67"/>
      <c r="W32" s="67"/>
      <c r="X32" s="185">
        <f t="shared" si="2"/>
        <v>11172702.21</v>
      </c>
      <c r="Y32" s="68">
        <f t="shared" si="9"/>
        <v>2857987.87</v>
      </c>
      <c r="Z32" s="68">
        <f t="shared" si="16"/>
        <v>978712</v>
      </c>
      <c r="AA32" s="68">
        <f t="shared" si="12"/>
        <v>2590101.86</v>
      </c>
      <c r="AB32" s="68">
        <f t="shared" si="3"/>
        <v>2007133.87</v>
      </c>
      <c r="AC32" s="68">
        <f t="shared" si="13"/>
        <v>2738766.61</v>
      </c>
      <c r="AD32" s="68"/>
      <c r="AE32" s="68"/>
      <c r="AF32" s="86"/>
      <c r="AG32" s="68"/>
      <c r="AH32" s="68"/>
      <c r="AI32" s="69"/>
      <c r="AJ32" s="69"/>
      <c r="AK32" s="70">
        <f t="shared" si="10"/>
        <v>11172702.21</v>
      </c>
      <c r="AL32" s="72">
        <f t="shared" si="11"/>
        <v>2857987.87</v>
      </c>
      <c r="AM32" s="72">
        <f t="shared" si="17"/>
        <v>978712</v>
      </c>
      <c r="AN32" s="72">
        <f t="shared" si="14"/>
        <v>2590101.86</v>
      </c>
      <c r="AO32" s="71">
        <f t="shared" si="4"/>
        <v>2007133.87</v>
      </c>
      <c r="AP32" s="72">
        <f t="shared" si="15"/>
        <v>2738766.61</v>
      </c>
      <c r="AQ32" s="72"/>
      <c r="AR32" s="72"/>
      <c r="AS32" s="72"/>
      <c r="AT32" s="72"/>
      <c r="AU32" s="72"/>
      <c r="AV32" s="72"/>
      <c r="AW32" s="72"/>
      <c r="AX32" s="73">
        <f t="shared" si="5"/>
        <v>11172702.21</v>
      </c>
      <c r="AY32" s="235">
        <f t="shared" si="6"/>
        <v>28827297.79</v>
      </c>
      <c r="AZ32" s="232"/>
      <c r="BA32" s="232"/>
      <c r="BB32" s="251"/>
    </row>
    <row r="33" spans="1:54" s="7" customFormat="1" ht="30" customHeight="1">
      <c r="A33" s="60" t="s">
        <v>15</v>
      </c>
      <c r="B33" s="40" t="s">
        <v>48</v>
      </c>
      <c r="C33" s="61">
        <v>1</v>
      </c>
      <c r="D33" s="61" t="s">
        <v>50</v>
      </c>
      <c r="E33" s="62" t="s">
        <v>49</v>
      </c>
      <c r="F33" s="62" t="s">
        <v>64</v>
      </c>
      <c r="G33" s="62" t="s">
        <v>84</v>
      </c>
      <c r="H33" s="61" t="s">
        <v>51</v>
      </c>
      <c r="I33" s="61" t="s">
        <v>52</v>
      </c>
      <c r="J33" s="65" t="s">
        <v>85</v>
      </c>
      <c r="K33" s="64">
        <v>345000000</v>
      </c>
      <c r="L33" s="66"/>
      <c r="M33" s="67"/>
      <c r="N33" s="67">
        <v>4798470</v>
      </c>
      <c r="O33" s="67"/>
      <c r="P33" s="67"/>
      <c r="Q33" s="67"/>
      <c r="R33" s="67"/>
      <c r="S33" s="67"/>
      <c r="T33" s="67"/>
      <c r="U33" s="67"/>
      <c r="V33" s="67"/>
      <c r="W33" s="67"/>
      <c r="X33" s="185">
        <f t="shared" si="2"/>
        <v>4798470</v>
      </c>
      <c r="Y33" s="69"/>
      <c r="Z33" s="68">
        <f t="shared" si="16"/>
        <v>0</v>
      </c>
      <c r="AA33" s="68">
        <f t="shared" si="12"/>
        <v>4798470</v>
      </c>
      <c r="AB33" s="68">
        <f t="shared" si="3"/>
        <v>0</v>
      </c>
      <c r="AC33" s="68">
        <f t="shared" si="13"/>
        <v>0</v>
      </c>
      <c r="AD33" s="69"/>
      <c r="AE33" s="69"/>
      <c r="AF33" s="86"/>
      <c r="AG33" s="69"/>
      <c r="AH33" s="68"/>
      <c r="AI33" s="69"/>
      <c r="AJ33" s="69"/>
      <c r="AK33" s="70">
        <f t="shared" si="10"/>
        <v>4798470</v>
      </c>
      <c r="AL33" s="72"/>
      <c r="AM33" s="72">
        <f t="shared" si="17"/>
        <v>0</v>
      </c>
      <c r="AN33" s="72">
        <f t="shared" si="14"/>
        <v>4798470</v>
      </c>
      <c r="AO33" s="71">
        <f t="shared" si="4"/>
        <v>0</v>
      </c>
      <c r="AP33" s="72">
        <f t="shared" si="15"/>
        <v>0</v>
      </c>
      <c r="AQ33" s="72"/>
      <c r="AR33" s="72"/>
      <c r="AS33" s="72"/>
      <c r="AT33" s="72"/>
      <c r="AU33" s="72"/>
      <c r="AV33" s="72"/>
      <c r="AW33" s="72"/>
      <c r="AX33" s="73">
        <f t="shared" si="5"/>
        <v>4798470</v>
      </c>
      <c r="AY33" s="235">
        <f t="shared" si="6"/>
        <v>340201530</v>
      </c>
      <c r="AZ33" s="232"/>
      <c r="BA33" s="232"/>
      <c r="BB33" s="251"/>
    </row>
    <row r="34" spans="1:54" s="7" customFormat="1" ht="60" customHeight="1">
      <c r="A34" s="60" t="s">
        <v>15</v>
      </c>
      <c r="B34" s="40" t="s">
        <v>48</v>
      </c>
      <c r="C34" s="61">
        <v>1</v>
      </c>
      <c r="D34" s="61" t="s">
        <v>50</v>
      </c>
      <c r="E34" s="62" t="s">
        <v>49</v>
      </c>
      <c r="F34" s="62" t="s">
        <v>86</v>
      </c>
      <c r="G34" s="62"/>
      <c r="H34" s="61" t="s">
        <v>51</v>
      </c>
      <c r="I34" s="61" t="s">
        <v>52</v>
      </c>
      <c r="J34" s="63" t="s">
        <v>191</v>
      </c>
      <c r="K34" s="185"/>
      <c r="L34" s="81"/>
      <c r="M34" s="70"/>
      <c r="N34" s="70"/>
      <c r="O34" s="70"/>
      <c r="P34" s="70"/>
      <c r="Q34" s="70"/>
      <c r="R34" s="70"/>
      <c r="S34" s="185"/>
      <c r="T34" s="185"/>
      <c r="U34" s="185"/>
      <c r="V34" s="185"/>
      <c r="W34" s="185"/>
      <c r="X34" s="185"/>
      <c r="Y34" s="77"/>
      <c r="Z34" s="81"/>
      <c r="AA34" s="70"/>
      <c r="AB34" s="77"/>
      <c r="AC34" s="77"/>
      <c r="AD34" s="77"/>
      <c r="AE34" s="77"/>
      <c r="AF34" s="185"/>
      <c r="AG34" s="77"/>
      <c r="AH34" s="77"/>
      <c r="AI34" s="205"/>
      <c r="AJ34" s="77"/>
      <c r="AK34" s="185">
        <f>+AK35+AK36</f>
        <v>67888327.8</v>
      </c>
      <c r="AL34" s="77"/>
      <c r="AM34" s="77"/>
      <c r="AN34" s="70"/>
      <c r="AO34" s="77"/>
      <c r="AP34" s="77"/>
      <c r="AQ34" s="77"/>
      <c r="AR34" s="77"/>
      <c r="AS34" s="77"/>
      <c r="AT34" s="197"/>
      <c r="AU34" s="197"/>
      <c r="AV34" s="77"/>
      <c r="AW34" s="77"/>
      <c r="AX34" s="185"/>
      <c r="AY34" s="236"/>
      <c r="AZ34" s="232"/>
      <c r="BA34" s="232"/>
      <c r="BB34" s="251"/>
    </row>
    <row r="35" spans="1:54" s="7" customFormat="1" ht="30" customHeight="1">
      <c r="A35" s="60" t="s">
        <v>15</v>
      </c>
      <c r="B35" s="40" t="s">
        <v>48</v>
      </c>
      <c r="C35" s="61">
        <v>1</v>
      </c>
      <c r="D35" s="61" t="s">
        <v>50</v>
      </c>
      <c r="E35" s="62" t="s">
        <v>49</v>
      </c>
      <c r="F35" s="62" t="s">
        <v>86</v>
      </c>
      <c r="G35" s="62" t="s">
        <v>49</v>
      </c>
      <c r="H35" s="61" t="s">
        <v>51</v>
      </c>
      <c r="I35" s="61" t="s">
        <v>52</v>
      </c>
      <c r="J35" s="65" t="s">
        <v>87</v>
      </c>
      <c r="K35" s="64">
        <f>200000000-30000000</f>
        <v>170000000</v>
      </c>
      <c r="L35" s="66"/>
      <c r="M35" s="66">
        <v>7473528</v>
      </c>
      <c r="N35" s="66">
        <v>8631485</v>
      </c>
      <c r="O35" s="67">
        <v>8423999</v>
      </c>
      <c r="P35" s="67">
        <v>10462728</v>
      </c>
      <c r="Q35" s="66"/>
      <c r="R35" s="66"/>
      <c r="S35" s="66"/>
      <c r="T35" s="66"/>
      <c r="U35" s="66"/>
      <c r="V35" s="66"/>
      <c r="W35" s="66"/>
      <c r="X35" s="185">
        <f t="shared" si="2"/>
        <v>34991740</v>
      </c>
      <c r="Y35" s="68"/>
      <c r="Z35" s="68">
        <f>+M35</f>
        <v>7473528</v>
      </c>
      <c r="AA35" s="68">
        <f>+N35</f>
        <v>8631485</v>
      </c>
      <c r="AB35" s="68">
        <f t="shared" si="3"/>
        <v>8423999</v>
      </c>
      <c r="AC35" s="68">
        <f>+P35</f>
        <v>10462728</v>
      </c>
      <c r="AD35" s="68"/>
      <c r="AE35" s="68"/>
      <c r="AF35" s="86"/>
      <c r="AG35" s="68"/>
      <c r="AH35" s="68"/>
      <c r="AI35" s="68"/>
      <c r="AJ35" s="68"/>
      <c r="AK35" s="70">
        <f>SUM(Y35:AJ35)</f>
        <v>34991740</v>
      </c>
      <c r="AL35" s="72"/>
      <c r="AM35" s="72">
        <f>+Z35</f>
        <v>7473528</v>
      </c>
      <c r="AN35" s="72">
        <f>+AA35</f>
        <v>8631485</v>
      </c>
      <c r="AO35" s="71">
        <f t="shared" si="4"/>
        <v>8423999</v>
      </c>
      <c r="AP35" s="72">
        <f>+AC35</f>
        <v>10462728</v>
      </c>
      <c r="AQ35" s="72"/>
      <c r="AR35" s="72"/>
      <c r="AS35" s="72"/>
      <c r="AT35" s="72"/>
      <c r="AU35" s="72"/>
      <c r="AV35" s="72"/>
      <c r="AW35" s="72"/>
      <c r="AX35" s="73">
        <f t="shared" si="5"/>
        <v>34991740</v>
      </c>
      <c r="AY35" s="235">
        <f t="shared" si="6"/>
        <v>135008260</v>
      </c>
      <c r="AZ35" s="232"/>
      <c r="BA35" s="232"/>
      <c r="BB35" s="251"/>
    </row>
    <row r="36" spans="1:54" s="7" customFormat="1" ht="30" customHeight="1">
      <c r="A36" s="60" t="s">
        <v>15</v>
      </c>
      <c r="B36" s="40" t="s">
        <v>48</v>
      </c>
      <c r="C36" s="61">
        <v>1</v>
      </c>
      <c r="D36" s="61" t="s">
        <v>50</v>
      </c>
      <c r="E36" s="62" t="s">
        <v>49</v>
      </c>
      <c r="F36" s="62" t="s">
        <v>86</v>
      </c>
      <c r="G36" s="62" t="s">
        <v>88</v>
      </c>
      <c r="H36" s="61" t="s">
        <v>51</v>
      </c>
      <c r="I36" s="61" t="s">
        <v>52</v>
      </c>
      <c r="J36" s="65" t="s">
        <v>89</v>
      </c>
      <c r="K36" s="64">
        <f>45200000+30000000</f>
        <v>75200000</v>
      </c>
      <c r="L36" s="66">
        <v>4634776</v>
      </c>
      <c r="M36" s="66">
        <v>2907788.8</v>
      </c>
      <c r="N36" s="66">
        <v>13815530</v>
      </c>
      <c r="O36" s="67">
        <v>3836468</v>
      </c>
      <c r="P36" s="67">
        <v>7702025</v>
      </c>
      <c r="Q36" s="66"/>
      <c r="R36" s="66"/>
      <c r="S36" s="66"/>
      <c r="T36" s="66"/>
      <c r="U36" s="66"/>
      <c r="V36" s="66"/>
      <c r="W36" s="66"/>
      <c r="X36" s="185">
        <f t="shared" si="2"/>
        <v>32896587.8</v>
      </c>
      <c r="Y36" s="68">
        <f>+L36</f>
        <v>4634776</v>
      </c>
      <c r="Z36" s="68">
        <f>+M36</f>
        <v>2907788.8</v>
      </c>
      <c r="AA36" s="68">
        <f>+N36</f>
        <v>13815530</v>
      </c>
      <c r="AB36" s="68">
        <f t="shared" si="3"/>
        <v>3836468</v>
      </c>
      <c r="AC36" s="68">
        <f>+P36</f>
        <v>7702025</v>
      </c>
      <c r="AD36" s="68"/>
      <c r="AE36" s="68"/>
      <c r="AF36" s="86"/>
      <c r="AG36" s="68"/>
      <c r="AH36" s="68"/>
      <c r="AI36" s="68"/>
      <c r="AJ36" s="68"/>
      <c r="AK36" s="70">
        <f>SUM(Y36:AJ36)</f>
        <v>32896587.8</v>
      </c>
      <c r="AL36" s="72">
        <f>+Y36</f>
        <v>4634776</v>
      </c>
      <c r="AM36" s="72">
        <f>+Z36</f>
        <v>2907788.8</v>
      </c>
      <c r="AN36" s="72">
        <f>+AA36</f>
        <v>13815530</v>
      </c>
      <c r="AO36" s="71">
        <f t="shared" si="4"/>
        <v>3836468</v>
      </c>
      <c r="AP36" s="72">
        <f>+AC36</f>
        <v>7702025</v>
      </c>
      <c r="AQ36" s="72"/>
      <c r="AR36" s="72"/>
      <c r="AS36" s="72"/>
      <c r="AT36" s="72"/>
      <c r="AU36" s="72"/>
      <c r="AV36" s="72"/>
      <c r="AW36" s="72"/>
      <c r="AX36" s="73">
        <f t="shared" si="5"/>
        <v>32896587.8</v>
      </c>
      <c r="AY36" s="235">
        <f t="shared" si="6"/>
        <v>42303412.2</v>
      </c>
      <c r="AZ36" s="232"/>
      <c r="BA36" s="232"/>
      <c r="BB36" s="252"/>
    </row>
    <row r="37" spans="1:54" s="7" customFormat="1" ht="48.75" customHeight="1">
      <c r="A37" s="60" t="s">
        <v>15</v>
      </c>
      <c r="B37" s="40" t="s">
        <v>48</v>
      </c>
      <c r="C37" s="61">
        <v>1</v>
      </c>
      <c r="D37" s="61" t="s">
        <v>50</v>
      </c>
      <c r="E37" s="62" t="s">
        <v>56</v>
      </c>
      <c r="F37" s="62"/>
      <c r="G37" s="62"/>
      <c r="H37" s="61" t="s">
        <v>51</v>
      </c>
      <c r="I37" s="61" t="s">
        <v>52</v>
      </c>
      <c r="J37" s="63" t="s">
        <v>90</v>
      </c>
      <c r="K37" s="70"/>
      <c r="L37" s="70"/>
      <c r="M37" s="70"/>
      <c r="N37" s="70"/>
      <c r="O37" s="185"/>
      <c r="P37" s="185"/>
      <c r="Q37" s="185"/>
      <c r="R37" s="185"/>
      <c r="S37" s="185"/>
      <c r="T37" s="185"/>
      <c r="U37" s="185"/>
      <c r="V37" s="185"/>
      <c r="W37" s="185"/>
      <c r="X37" s="70"/>
      <c r="Y37" s="185"/>
      <c r="Z37" s="70"/>
      <c r="AA37" s="70"/>
      <c r="AB37" s="185"/>
      <c r="AC37" s="185"/>
      <c r="AD37" s="185"/>
      <c r="AE37" s="185"/>
      <c r="AF37" s="185"/>
      <c r="AG37" s="185"/>
      <c r="AH37" s="185"/>
      <c r="AI37" s="185"/>
      <c r="AJ37" s="185"/>
      <c r="AK37" s="70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70"/>
      <c r="AY37" s="236"/>
      <c r="AZ37" s="232"/>
      <c r="BA37" s="232"/>
      <c r="BB37" s="251"/>
    </row>
    <row r="38" spans="1:54" s="7" customFormat="1" ht="30" customHeight="1">
      <c r="A38" s="60" t="s">
        <v>15</v>
      </c>
      <c r="B38" s="40" t="s">
        <v>48</v>
      </c>
      <c r="C38" s="61">
        <v>1</v>
      </c>
      <c r="D38" s="61" t="s">
        <v>50</v>
      </c>
      <c r="E38" s="62" t="s">
        <v>56</v>
      </c>
      <c r="F38" s="62" t="s">
        <v>66</v>
      </c>
      <c r="G38" s="62"/>
      <c r="H38" s="61" t="s">
        <v>51</v>
      </c>
      <c r="I38" s="61" t="s">
        <v>52</v>
      </c>
      <c r="J38" s="65" t="s">
        <v>91</v>
      </c>
      <c r="K38" s="64">
        <f>1700000000-1446667</f>
        <v>1698553333</v>
      </c>
      <c r="L38" s="66">
        <v>383862788</v>
      </c>
      <c r="M38" s="66">
        <v>383761120</v>
      </c>
      <c r="N38" s="66">
        <v>251560000</v>
      </c>
      <c r="O38" s="66">
        <v>24720000</v>
      </c>
      <c r="P38" s="66">
        <v>139997988</v>
      </c>
      <c r="Q38" s="66"/>
      <c r="R38" s="66"/>
      <c r="S38" s="66"/>
      <c r="T38" s="66"/>
      <c r="U38" s="66"/>
      <c r="V38" s="66"/>
      <c r="W38" s="66"/>
      <c r="X38" s="185">
        <f t="shared" si="2"/>
        <v>1183901896</v>
      </c>
      <c r="Y38" s="68"/>
      <c r="Z38" s="83">
        <v>8388699</v>
      </c>
      <c r="AA38" s="68">
        <v>74420540</v>
      </c>
      <c r="AB38" s="68">
        <v>126087638</v>
      </c>
      <c r="AC38" s="68">
        <f>139006889-13362700</f>
        <v>125644189</v>
      </c>
      <c r="AD38" s="68"/>
      <c r="AE38" s="68"/>
      <c r="AF38" s="86"/>
      <c r="AG38" s="68"/>
      <c r="AH38" s="68"/>
      <c r="AI38" s="68"/>
      <c r="AJ38" s="68"/>
      <c r="AK38" s="70">
        <f>SUM(Y38:AJ38)</f>
        <v>334541066</v>
      </c>
      <c r="AL38" s="72"/>
      <c r="AM38" s="72">
        <f>+Z38</f>
        <v>8388699</v>
      </c>
      <c r="AN38" s="72">
        <v>71227540</v>
      </c>
      <c r="AO38" s="72">
        <v>129280638</v>
      </c>
      <c r="AP38" s="72">
        <f>+AC38</f>
        <v>125644189</v>
      </c>
      <c r="AQ38" s="72"/>
      <c r="AR38" s="72"/>
      <c r="AS38" s="72"/>
      <c r="AT38" s="72"/>
      <c r="AU38" s="72"/>
      <c r="AV38" s="72"/>
      <c r="AW38" s="72"/>
      <c r="AX38" s="73">
        <f t="shared" si="5"/>
        <v>334541066</v>
      </c>
      <c r="AY38" s="235">
        <f t="shared" si="6"/>
        <v>514651437</v>
      </c>
      <c r="AZ38" s="232"/>
      <c r="BA38" s="232"/>
      <c r="BB38" s="251"/>
    </row>
    <row r="39" spans="1:54" s="7" customFormat="1" ht="30" customHeight="1">
      <c r="A39" s="60" t="s">
        <v>15</v>
      </c>
      <c r="B39" s="40" t="s">
        <v>48</v>
      </c>
      <c r="C39" s="61">
        <v>1</v>
      </c>
      <c r="D39" s="61" t="s">
        <v>50</v>
      </c>
      <c r="E39" s="62" t="s">
        <v>56</v>
      </c>
      <c r="F39" s="62" t="s">
        <v>70</v>
      </c>
      <c r="G39" s="62"/>
      <c r="H39" s="61" t="s">
        <v>51</v>
      </c>
      <c r="I39" s="61" t="s">
        <v>52</v>
      </c>
      <c r="J39" s="65" t="s">
        <v>92</v>
      </c>
      <c r="K39" s="64">
        <v>100000000</v>
      </c>
      <c r="L39" s="66"/>
      <c r="M39" s="66">
        <v>71831192</v>
      </c>
      <c r="N39" s="66"/>
      <c r="O39" s="66"/>
      <c r="P39" s="66">
        <v>24000000</v>
      </c>
      <c r="Q39" s="66"/>
      <c r="R39" s="66"/>
      <c r="S39" s="66"/>
      <c r="T39" s="66"/>
      <c r="U39" s="66"/>
      <c r="V39" s="66"/>
      <c r="W39" s="66"/>
      <c r="X39" s="185">
        <f t="shared" si="2"/>
        <v>95831192</v>
      </c>
      <c r="Y39" s="68"/>
      <c r="Z39" s="83"/>
      <c r="AA39" s="83">
        <v>7545000</v>
      </c>
      <c r="AB39" s="68">
        <v>8345000</v>
      </c>
      <c r="AC39" s="68">
        <v>7545000</v>
      </c>
      <c r="AD39" s="68"/>
      <c r="AE39" s="68"/>
      <c r="AF39" s="86"/>
      <c r="AG39" s="68"/>
      <c r="AH39" s="68"/>
      <c r="AI39" s="68"/>
      <c r="AJ39" s="68"/>
      <c r="AK39" s="70">
        <f>SUM(Y39:AJ39)</f>
        <v>23435000</v>
      </c>
      <c r="AL39" s="72"/>
      <c r="AM39" s="72"/>
      <c r="AN39" s="72">
        <v>7545000</v>
      </c>
      <c r="AO39" s="72">
        <v>8345000</v>
      </c>
      <c r="AP39" s="72">
        <f>+AC39</f>
        <v>7545000</v>
      </c>
      <c r="AQ39" s="72"/>
      <c r="AR39" s="72"/>
      <c r="AS39" s="72"/>
      <c r="AT39" s="72"/>
      <c r="AU39" s="72"/>
      <c r="AV39" s="72"/>
      <c r="AW39" s="72"/>
      <c r="AX39" s="73">
        <f t="shared" si="5"/>
        <v>23435000</v>
      </c>
      <c r="AY39" s="235">
        <f t="shared" si="6"/>
        <v>4168808</v>
      </c>
      <c r="AZ39" s="232"/>
      <c r="BA39" s="232"/>
      <c r="BB39" s="251"/>
    </row>
    <row r="40" spans="1:54" s="7" customFormat="1" ht="45" customHeight="1">
      <c r="A40" s="60" t="s">
        <v>15</v>
      </c>
      <c r="B40" s="40" t="s">
        <v>48</v>
      </c>
      <c r="C40" s="61">
        <v>1</v>
      </c>
      <c r="D40" s="61" t="s">
        <v>50</v>
      </c>
      <c r="E40" s="62" t="s">
        <v>56</v>
      </c>
      <c r="F40" s="229" t="s">
        <v>188</v>
      </c>
      <c r="G40" s="62"/>
      <c r="H40" s="61" t="s">
        <v>51</v>
      </c>
      <c r="I40" s="61" t="s">
        <v>52</v>
      </c>
      <c r="J40" s="65" t="s">
        <v>189</v>
      </c>
      <c r="K40" s="64">
        <v>1446667</v>
      </c>
      <c r="L40" s="66"/>
      <c r="M40" s="66">
        <v>1446667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85">
        <f t="shared" si="2"/>
        <v>1446667</v>
      </c>
      <c r="Y40" s="68"/>
      <c r="Z40" s="83">
        <f>+M40</f>
        <v>1446667</v>
      </c>
      <c r="AA40" s="83"/>
      <c r="AB40" s="68"/>
      <c r="AC40" s="68"/>
      <c r="AD40" s="68"/>
      <c r="AE40" s="68"/>
      <c r="AF40" s="86"/>
      <c r="AG40" s="68"/>
      <c r="AH40" s="68"/>
      <c r="AI40" s="68"/>
      <c r="AJ40" s="68"/>
      <c r="AK40" s="70">
        <f>SUM(Y40:AJ40)</f>
        <v>1446667</v>
      </c>
      <c r="AL40" s="72"/>
      <c r="AM40" s="72">
        <f>+Z40</f>
        <v>1446667</v>
      </c>
      <c r="AN40" s="72"/>
      <c r="AO40" s="72"/>
      <c r="AP40" s="72"/>
      <c r="AQ40" s="72"/>
      <c r="AR40" s="72"/>
      <c r="AS40" s="72"/>
      <c r="AT40" s="195"/>
      <c r="AU40" s="195"/>
      <c r="AV40" s="72"/>
      <c r="AW40" s="72"/>
      <c r="AX40" s="73">
        <f t="shared" si="5"/>
        <v>1446667</v>
      </c>
      <c r="AY40" s="235">
        <f t="shared" si="6"/>
        <v>0</v>
      </c>
      <c r="AZ40" s="232"/>
      <c r="BA40" s="232"/>
      <c r="BB40" s="251"/>
    </row>
    <row r="41" spans="1:54" s="7" customFormat="1" ht="72" customHeight="1">
      <c r="A41" s="60" t="s">
        <v>15</v>
      </c>
      <c r="B41" s="40" t="s">
        <v>48</v>
      </c>
      <c r="C41" s="61">
        <v>1</v>
      </c>
      <c r="D41" s="61" t="s">
        <v>50</v>
      </c>
      <c r="E41" s="62" t="s">
        <v>64</v>
      </c>
      <c r="F41" s="62"/>
      <c r="G41" s="62"/>
      <c r="H41" s="61" t="s">
        <v>51</v>
      </c>
      <c r="I41" s="61" t="s">
        <v>52</v>
      </c>
      <c r="J41" s="63" t="s">
        <v>93</v>
      </c>
      <c r="K41" s="81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81"/>
      <c r="Y41" s="77"/>
      <c r="Z41" s="77"/>
      <c r="AA41" s="76"/>
      <c r="AB41" s="76"/>
      <c r="AC41" s="76"/>
      <c r="AD41" s="76"/>
      <c r="AE41" s="77"/>
      <c r="AF41" s="76"/>
      <c r="AG41" s="185"/>
      <c r="AH41" s="185"/>
      <c r="AI41" s="185"/>
      <c r="AJ41" s="77"/>
      <c r="AK41" s="81"/>
      <c r="AL41" s="77"/>
      <c r="AM41" s="77"/>
      <c r="AN41" s="77"/>
      <c r="AO41" s="77"/>
      <c r="AP41" s="77"/>
      <c r="AQ41" s="77"/>
      <c r="AR41" s="77"/>
      <c r="AS41" s="77"/>
      <c r="AT41" s="197"/>
      <c r="AU41" s="76"/>
      <c r="AV41" s="77"/>
      <c r="AW41" s="77"/>
      <c r="AX41" s="81"/>
      <c r="AY41" s="236"/>
      <c r="AZ41" s="232"/>
      <c r="BA41" s="232"/>
      <c r="BB41" s="251"/>
    </row>
    <row r="42" spans="1:54" s="7" customFormat="1" ht="30" customHeight="1" thickBot="1">
      <c r="A42" s="119" t="s">
        <v>15</v>
      </c>
      <c r="B42" s="120" t="s">
        <v>48</v>
      </c>
      <c r="C42" s="121">
        <v>1</v>
      </c>
      <c r="D42" s="121" t="s">
        <v>50</v>
      </c>
      <c r="E42" s="122" t="s">
        <v>64</v>
      </c>
      <c r="F42" s="122" t="s">
        <v>49</v>
      </c>
      <c r="G42" s="122"/>
      <c r="H42" s="121" t="s">
        <v>51</v>
      </c>
      <c r="I42" s="121" t="s">
        <v>52</v>
      </c>
      <c r="J42" s="123" t="s">
        <v>94</v>
      </c>
      <c r="K42" s="124">
        <f>2086300000-108000000</f>
        <v>1978300000</v>
      </c>
      <c r="L42" s="66">
        <v>142925900</v>
      </c>
      <c r="M42" s="66">
        <v>153709500</v>
      </c>
      <c r="N42" s="66">
        <v>154499000</v>
      </c>
      <c r="O42" s="66">
        <v>151241000</v>
      </c>
      <c r="P42" s="66">
        <v>155240700</v>
      </c>
      <c r="Q42" s="66"/>
      <c r="R42" s="66"/>
      <c r="S42" s="66"/>
      <c r="T42" s="66"/>
      <c r="U42" s="66"/>
      <c r="V42" s="215"/>
      <c r="W42" s="215"/>
      <c r="X42" s="185">
        <f t="shared" si="2"/>
        <v>757616100</v>
      </c>
      <c r="Y42" s="68">
        <f aca="true" t="shared" si="18" ref="Y42:Y47">+L42</f>
        <v>142925900</v>
      </c>
      <c r="Z42" s="68">
        <f aca="true" t="shared" si="19" ref="Z42:Z47">+M42</f>
        <v>153709500</v>
      </c>
      <c r="AA42" s="68">
        <f aca="true" t="shared" si="20" ref="AA42:AB47">+N42</f>
        <v>154499000</v>
      </c>
      <c r="AB42" s="68">
        <f t="shared" si="20"/>
        <v>151241000</v>
      </c>
      <c r="AC42" s="68">
        <f aca="true" t="shared" si="21" ref="AC42:AC47">+P42</f>
        <v>155240700</v>
      </c>
      <c r="AD42" s="68"/>
      <c r="AE42" s="68"/>
      <c r="AF42" s="86"/>
      <c r="AG42" s="68"/>
      <c r="AH42" s="68"/>
      <c r="AI42" s="68"/>
      <c r="AJ42" s="68"/>
      <c r="AK42" s="70">
        <f aca="true" t="shared" si="22" ref="AK42:AK47">SUM(Y42:AJ42)</f>
        <v>757616100</v>
      </c>
      <c r="AL42" s="72">
        <f aca="true" t="shared" si="23" ref="AL42:AL47">+Y42</f>
        <v>142925900</v>
      </c>
      <c r="AM42" s="72">
        <f aca="true" t="shared" si="24" ref="AM42:AM47">+Z42</f>
        <v>153709500</v>
      </c>
      <c r="AN42" s="72">
        <f>+AA42</f>
        <v>154499000</v>
      </c>
      <c r="AO42" s="71">
        <f aca="true" t="shared" si="25" ref="AO42:AO47">+AB42</f>
        <v>151241000</v>
      </c>
      <c r="AP42" s="72">
        <f aca="true" t="shared" si="26" ref="AP42:AP47">+AC42</f>
        <v>155240700</v>
      </c>
      <c r="AQ42" s="72"/>
      <c r="AR42" s="72"/>
      <c r="AS42" s="72"/>
      <c r="AT42" s="72"/>
      <c r="AU42" s="72"/>
      <c r="AV42" s="72"/>
      <c r="AW42" s="72"/>
      <c r="AX42" s="73">
        <f t="shared" si="5"/>
        <v>757616100</v>
      </c>
      <c r="AY42" s="235">
        <f t="shared" si="6"/>
        <v>1220683900</v>
      </c>
      <c r="AZ42" s="232"/>
      <c r="BA42" s="232"/>
      <c r="BB42" s="251"/>
    </row>
    <row r="43" spans="1:54" s="7" customFormat="1" ht="30" customHeight="1">
      <c r="A43" s="125" t="s">
        <v>15</v>
      </c>
      <c r="B43" s="126" t="s">
        <v>48</v>
      </c>
      <c r="C43" s="61">
        <v>1</v>
      </c>
      <c r="D43" s="61" t="s">
        <v>50</v>
      </c>
      <c r="E43" s="62" t="s">
        <v>64</v>
      </c>
      <c r="F43" s="62" t="s">
        <v>56</v>
      </c>
      <c r="G43" s="62"/>
      <c r="H43" s="61" t="s">
        <v>51</v>
      </c>
      <c r="I43" s="61" t="s">
        <v>52</v>
      </c>
      <c r="J43" s="65" t="s">
        <v>95</v>
      </c>
      <c r="K43" s="64">
        <f>2000000000-300000000</f>
        <v>1700000000</v>
      </c>
      <c r="L43" s="67">
        <v>126724299</v>
      </c>
      <c r="M43" s="67">
        <v>132457008</v>
      </c>
      <c r="N43" s="67">
        <v>134862973</v>
      </c>
      <c r="O43" s="67">
        <v>133395432.69</v>
      </c>
      <c r="P43" s="67">
        <v>135206615.69</v>
      </c>
      <c r="Q43" s="67"/>
      <c r="R43" s="67"/>
      <c r="S43" s="67"/>
      <c r="T43" s="67"/>
      <c r="U43" s="67"/>
      <c r="V43" s="215"/>
      <c r="W43" s="215"/>
      <c r="X43" s="185">
        <f t="shared" si="2"/>
        <v>662646328.38</v>
      </c>
      <c r="Y43" s="68">
        <f t="shared" si="18"/>
        <v>126724299</v>
      </c>
      <c r="Z43" s="68">
        <f t="shared" si="19"/>
        <v>132457008</v>
      </c>
      <c r="AA43" s="68">
        <f t="shared" si="20"/>
        <v>134862973</v>
      </c>
      <c r="AB43" s="68">
        <f t="shared" si="20"/>
        <v>133395432.69</v>
      </c>
      <c r="AC43" s="68">
        <f t="shared" si="21"/>
        <v>135206615.69</v>
      </c>
      <c r="AD43" s="68"/>
      <c r="AE43" s="68"/>
      <c r="AF43" s="86"/>
      <c r="AG43" s="68"/>
      <c r="AH43" s="68"/>
      <c r="AI43" s="68"/>
      <c r="AJ43" s="68"/>
      <c r="AK43" s="70">
        <f t="shared" si="22"/>
        <v>662646328.38</v>
      </c>
      <c r="AL43" s="72">
        <f t="shared" si="23"/>
        <v>126724299</v>
      </c>
      <c r="AM43" s="72">
        <f t="shared" si="24"/>
        <v>132457008</v>
      </c>
      <c r="AN43" s="72">
        <v>61229800</v>
      </c>
      <c r="AO43" s="71">
        <v>207028605.69</v>
      </c>
      <c r="AP43" s="72">
        <f t="shared" si="26"/>
        <v>135206615.69</v>
      </c>
      <c r="AQ43" s="72"/>
      <c r="AR43" s="72"/>
      <c r="AS43" s="72"/>
      <c r="AT43" s="72"/>
      <c r="AU43" s="72"/>
      <c r="AV43" s="72"/>
      <c r="AW43" s="72"/>
      <c r="AX43" s="73">
        <f t="shared" si="5"/>
        <v>662646328.38</v>
      </c>
      <c r="AY43" s="235">
        <f t="shared" si="6"/>
        <v>1037353671.62</v>
      </c>
      <c r="AZ43" s="232"/>
      <c r="BA43" s="232"/>
      <c r="BB43" s="251"/>
    </row>
    <row r="44" spans="1:54" s="7" customFormat="1" ht="30" customHeight="1">
      <c r="A44" s="60" t="s">
        <v>15</v>
      </c>
      <c r="B44" s="40" t="s">
        <v>48</v>
      </c>
      <c r="C44" s="61">
        <v>1</v>
      </c>
      <c r="D44" s="61" t="s">
        <v>50</v>
      </c>
      <c r="E44" s="62" t="s">
        <v>64</v>
      </c>
      <c r="F44" s="62" t="s">
        <v>96</v>
      </c>
      <c r="G44" s="62"/>
      <c r="H44" s="61" t="s">
        <v>51</v>
      </c>
      <c r="I44" s="61" t="s">
        <v>52</v>
      </c>
      <c r="J44" s="65" t="s">
        <v>97</v>
      </c>
      <c r="K44" s="64">
        <f>350000000+100000000</f>
        <v>450000000</v>
      </c>
      <c r="L44" s="66">
        <v>22290400</v>
      </c>
      <c r="M44" s="67">
        <v>25629600</v>
      </c>
      <c r="N44" s="67">
        <v>27161700</v>
      </c>
      <c r="O44" s="67">
        <v>25822400</v>
      </c>
      <c r="P44" s="67">
        <v>26916900</v>
      </c>
      <c r="Q44" s="67"/>
      <c r="R44" s="67"/>
      <c r="S44" s="67"/>
      <c r="T44" s="67"/>
      <c r="U44" s="67"/>
      <c r="V44" s="215"/>
      <c r="W44" s="215"/>
      <c r="X44" s="185">
        <f t="shared" si="2"/>
        <v>127821000</v>
      </c>
      <c r="Y44" s="68">
        <f t="shared" si="18"/>
        <v>22290400</v>
      </c>
      <c r="Z44" s="68">
        <f t="shared" si="19"/>
        <v>25629600</v>
      </c>
      <c r="AA44" s="68">
        <f t="shared" si="20"/>
        <v>27161700</v>
      </c>
      <c r="AB44" s="68">
        <f t="shared" si="20"/>
        <v>25822400</v>
      </c>
      <c r="AC44" s="68">
        <f t="shared" si="21"/>
        <v>26916900</v>
      </c>
      <c r="AD44" s="68"/>
      <c r="AE44" s="68"/>
      <c r="AF44" s="86"/>
      <c r="AG44" s="68"/>
      <c r="AH44" s="68"/>
      <c r="AI44" s="68"/>
      <c r="AJ44" s="68"/>
      <c r="AK44" s="70">
        <f t="shared" si="22"/>
        <v>127821000</v>
      </c>
      <c r="AL44" s="72">
        <f t="shared" si="23"/>
        <v>22290400</v>
      </c>
      <c r="AM44" s="72">
        <f t="shared" si="24"/>
        <v>25629600</v>
      </c>
      <c r="AN44" s="72">
        <f>+AA44</f>
        <v>27161700</v>
      </c>
      <c r="AO44" s="71">
        <f t="shared" si="25"/>
        <v>25822400</v>
      </c>
      <c r="AP44" s="72">
        <f t="shared" si="26"/>
        <v>26916900</v>
      </c>
      <c r="AQ44" s="72"/>
      <c r="AR44" s="72"/>
      <c r="AS44" s="72"/>
      <c r="AT44" s="72"/>
      <c r="AU44" s="72"/>
      <c r="AV44" s="72"/>
      <c r="AW44" s="72"/>
      <c r="AX44" s="73">
        <f t="shared" si="5"/>
        <v>127821000</v>
      </c>
      <c r="AY44" s="235">
        <f t="shared" si="6"/>
        <v>322179000</v>
      </c>
      <c r="AZ44" s="232"/>
      <c r="BA44" s="232"/>
      <c r="BB44" s="252"/>
    </row>
    <row r="45" spans="1:54" s="7" customFormat="1" ht="30" customHeight="1">
      <c r="A45" s="60" t="s">
        <v>15</v>
      </c>
      <c r="B45" s="40" t="s">
        <v>48</v>
      </c>
      <c r="C45" s="61">
        <v>1</v>
      </c>
      <c r="D45" s="61" t="s">
        <v>50</v>
      </c>
      <c r="E45" s="62" t="s">
        <v>64</v>
      </c>
      <c r="F45" s="62" t="s">
        <v>98</v>
      </c>
      <c r="G45" s="62"/>
      <c r="H45" s="61" t="s">
        <v>51</v>
      </c>
      <c r="I45" s="61" t="s">
        <v>52</v>
      </c>
      <c r="J45" s="65" t="s">
        <v>99</v>
      </c>
      <c r="K45" s="64">
        <f>50000000+50000000</f>
        <v>100000000</v>
      </c>
      <c r="L45" s="66">
        <v>3713000</v>
      </c>
      <c r="M45" s="66">
        <v>4270500</v>
      </c>
      <c r="N45" s="66">
        <v>4525800</v>
      </c>
      <c r="O45" s="66">
        <v>4302100</v>
      </c>
      <c r="P45" s="66">
        <v>4485100</v>
      </c>
      <c r="Q45" s="66"/>
      <c r="R45" s="66"/>
      <c r="S45" s="66"/>
      <c r="T45" s="66"/>
      <c r="U45" s="66"/>
      <c r="V45" s="215"/>
      <c r="W45" s="215"/>
      <c r="X45" s="185">
        <f t="shared" si="2"/>
        <v>21296500</v>
      </c>
      <c r="Y45" s="68">
        <f t="shared" si="18"/>
        <v>3713000</v>
      </c>
      <c r="Z45" s="68">
        <f t="shared" si="19"/>
        <v>4270500</v>
      </c>
      <c r="AA45" s="68">
        <f t="shared" si="20"/>
        <v>4525800</v>
      </c>
      <c r="AB45" s="68">
        <f t="shared" si="20"/>
        <v>4302100</v>
      </c>
      <c r="AC45" s="68">
        <f t="shared" si="21"/>
        <v>4485100</v>
      </c>
      <c r="AD45" s="68"/>
      <c r="AE45" s="68"/>
      <c r="AF45" s="86"/>
      <c r="AG45" s="68"/>
      <c r="AH45" s="68"/>
      <c r="AI45" s="68"/>
      <c r="AJ45" s="68"/>
      <c r="AK45" s="70">
        <f t="shared" si="22"/>
        <v>21296500</v>
      </c>
      <c r="AL45" s="72">
        <f t="shared" si="23"/>
        <v>3713000</v>
      </c>
      <c r="AM45" s="72">
        <f t="shared" si="24"/>
        <v>4270500</v>
      </c>
      <c r="AN45" s="72">
        <f>+AA45</f>
        <v>4525800</v>
      </c>
      <c r="AO45" s="71">
        <f t="shared" si="25"/>
        <v>4302100</v>
      </c>
      <c r="AP45" s="72">
        <f t="shared" si="26"/>
        <v>4485100</v>
      </c>
      <c r="AQ45" s="72"/>
      <c r="AR45" s="72"/>
      <c r="AS45" s="72"/>
      <c r="AT45" s="72"/>
      <c r="AU45" s="72"/>
      <c r="AV45" s="72"/>
      <c r="AW45" s="72"/>
      <c r="AX45" s="73">
        <f t="shared" si="5"/>
        <v>21296500</v>
      </c>
      <c r="AY45" s="235">
        <f t="shared" si="6"/>
        <v>78703500</v>
      </c>
      <c r="AZ45" s="232"/>
      <c r="BA45" s="232"/>
      <c r="BB45" s="251"/>
    </row>
    <row r="46" spans="1:54" s="7" customFormat="1" ht="30" customHeight="1">
      <c r="A46" s="60" t="s">
        <v>15</v>
      </c>
      <c r="B46" s="40" t="s">
        <v>48</v>
      </c>
      <c r="C46" s="61">
        <v>1</v>
      </c>
      <c r="D46" s="61" t="s">
        <v>50</v>
      </c>
      <c r="E46" s="62" t="s">
        <v>64</v>
      </c>
      <c r="F46" s="62" t="s">
        <v>100</v>
      </c>
      <c r="G46" s="62"/>
      <c r="H46" s="61" t="s">
        <v>51</v>
      </c>
      <c r="I46" s="61" t="s">
        <v>52</v>
      </c>
      <c r="J46" s="65" t="s">
        <v>101</v>
      </c>
      <c r="K46" s="64">
        <f>50000000+50000000</f>
        <v>100000000</v>
      </c>
      <c r="L46" s="66">
        <v>3713000</v>
      </c>
      <c r="M46" s="66">
        <v>4270500</v>
      </c>
      <c r="N46" s="66">
        <v>4525800</v>
      </c>
      <c r="O46" s="66">
        <v>4302100</v>
      </c>
      <c r="P46" s="66">
        <v>4485100</v>
      </c>
      <c r="Q46" s="66"/>
      <c r="R46" s="66"/>
      <c r="S46" s="66"/>
      <c r="T46" s="66"/>
      <c r="U46" s="66"/>
      <c r="V46" s="215"/>
      <c r="W46" s="215"/>
      <c r="X46" s="185">
        <f>SUM(L46:W46)</f>
        <v>21296500</v>
      </c>
      <c r="Y46" s="68">
        <f t="shared" si="18"/>
        <v>3713000</v>
      </c>
      <c r="Z46" s="68">
        <f t="shared" si="19"/>
        <v>4270500</v>
      </c>
      <c r="AA46" s="68">
        <f t="shared" si="20"/>
        <v>4525800</v>
      </c>
      <c r="AB46" s="68">
        <f t="shared" si="20"/>
        <v>4302100</v>
      </c>
      <c r="AC46" s="68">
        <f t="shared" si="21"/>
        <v>4485100</v>
      </c>
      <c r="AD46" s="68"/>
      <c r="AE46" s="68"/>
      <c r="AF46" s="86"/>
      <c r="AG46" s="68"/>
      <c r="AH46" s="68"/>
      <c r="AI46" s="68"/>
      <c r="AJ46" s="68"/>
      <c r="AK46" s="70">
        <f>SUM(Y46:AJ46)</f>
        <v>21296500</v>
      </c>
      <c r="AL46" s="72">
        <f t="shared" si="23"/>
        <v>3713000</v>
      </c>
      <c r="AM46" s="72">
        <f t="shared" si="24"/>
        <v>4270500</v>
      </c>
      <c r="AN46" s="72">
        <f>+AA46</f>
        <v>4525800</v>
      </c>
      <c r="AO46" s="71">
        <f t="shared" si="25"/>
        <v>4302100</v>
      </c>
      <c r="AP46" s="72">
        <f t="shared" si="26"/>
        <v>4485100</v>
      </c>
      <c r="AQ46" s="72"/>
      <c r="AR46" s="72"/>
      <c r="AS46" s="72"/>
      <c r="AT46" s="72"/>
      <c r="AU46" s="72"/>
      <c r="AV46" s="72"/>
      <c r="AW46" s="72"/>
      <c r="AX46" s="73">
        <f t="shared" si="5"/>
        <v>21296500</v>
      </c>
      <c r="AY46" s="235">
        <f t="shared" si="6"/>
        <v>78703500</v>
      </c>
      <c r="AZ46" s="232"/>
      <c r="BA46" s="232"/>
      <c r="BB46" s="251"/>
    </row>
    <row r="47" spans="1:54" s="7" customFormat="1" ht="43.5" customHeight="1">
      <c r="A47" s="60" t="s">
        <v>15</v>
      </c>
      <c r="B47" s="40" t="s">
        <v>48</v>
      </c>
      <c r="C47" s="61">
        <v>1</v>
      </c>
      <c r="D47" s="61" t="s">
        <v>50</v>
      </c>
      <c r="E47" s="62" t="s">
        <v>64</v>
      </c>
      <c r="F47" s="62" t="s">
        <v>86</v>
      </c>
      <c r="G47" s="62"/>
      <c r="H47" s="61" t="s">
        <v>51</v>
      </c>
      <c r="I47" s="61" t="s">
        <v>52</v>
      </c>
      <c r="J47" s="65" t="s">
        <v>102</v>
      </c>
      <c r="K47" s="64">
        <v>130000000</v>
      </c>
      <c r="L47" s="67">
        <v>7431500</v>
      </c>
      <c r="M47" s="67">
        <v>8543400</v>
      </c>
      <c r="N47" s="67">
        <v>9054600</v>
      </c>
      <c r="O47" s="67">
        <v>8608000</v>
      </c>
      <c r="P47" s="67">
        <v>8972000</v>
      </c>
      <c r="Q47" s="67"/>
      <c r="R47" s="67"/>
      <c r="S47" s="67"/>
      <c r="T47" s="67"/>
      <c r="U47" s="67"/>
      <c r="V47" s="215"/>
      <c r="W47" s="215"/>
      <c r="X47" s="185">
        <f t="shared" si="2"/>
        <v>42609500</v>
      </c>
      <c r="Y47" s="68">
        <f t="shared" si="18"/>
        <v>7431500</v>
      </c>
      <c r="Z47" s="68">
        <f t="shared" si="19"/>
        <v>8543400</v>
      </c>
      <c r="AA47" s="68">
        <f t="shared" si="20"/>
        <v>9054600</v>
      </c>
      <c r="AB47" s="68">
        <f t="shared" si="20"/>
        <v>8608000</v>
      </c>
      <c r="AC47" s="68">
        <f t="shared" si="21"/>
        <v>8972000</v>
      </c>
      <c r="AD47" s="68"/>
      <c r="AE47" s="68"/>
      <c r="AF47" s="86"/>
      <c r="AG47" s="68"/>
      <c r="AH47" s="68"/>
      <c r="AI47" s="68"/>
      <c r="AJ47" s="68"/>
      <c r="AK47" s="70">
        <f t="shared" si="22"/>
        <v>42609500</v>
      </c>
      <c r="AL47" s="72">
        <f t="shared" si="23"/>
        <v>7431500</v>
      </c>
      <c r="AM47" s="72">
        <f t="shared" si="24"/>
        <v>8543400</v>
      </c>
      <c r="AN47" s="72">
        <f>+AA47</f>
        <v>9054600</v>
      </c>
      <c r="AO47" s="71">
        <f t="shared" si="25"/>
        <v>8608000</v>
      </c>
      <c r="AP47" s="72">
        <f t="shared" si="26"/>
        <v>8972000</v>
      </c>
      <c r="AQ47" s="72"/>
      <c r="AR47" s="72"/>
      <c r="AS47" s="72"/>
      <c r="AT47" s="72"/>
      <c r="AU47" s="72"/>
      <c r="AV47" s="72"/>
      <c r="AW47" s="72"/>
      <c r="AX47" s="73">
        <f t="shared" si="5"/>
        <v>42609500</v>
      </c>
      <c r="AY47" s="235">
        <f t="shared" si="6"/>
        <v>87390500</v>
      </c>
      <c r="AZ47" s="232"/>
      <c r="BA47" s="232"/>
      <c r="BB47" s="251"/>
    </row>
    <row r="48" spans="1:54" s="7" customFormat="1" ht="30" customHeight="1" thickBot="1">
      <c r="A48" s="145"/>
      <c r="B48" s="121"/>
      <c r="C48" s="121"/>
      <c r="D48" s="121"/>
      <c r="E48" s="122"/>
      <c r="F48" s="122"/>
      <c r="G48" s="122"/>
      <c r="H48" s="121"/>
      <c r="I48" s="121"/>
      <c r="J48" s="146" t="s">
        <v>103</v>
      </c>
      <c r="K48" s="193">
        <f>SUM(K14:K47)</f>
        <v>21395200000</v>
      </c>
      <c r="L48" s="193">
        <f aca="true" t="shared" si="27" ref="L48:AZ48">SUM(L15:L47)</f>
        <v>1503549384.6100001</v>
      </c>
      <c r="M48" s="193">
        <f t="shared" si="27"/>
        <v>1702893284.1100001</v>
      </c>
      <c r="N48" s="193">
        <f t="shared" si="27"/>
        <v>1596052509.15</v>
      </c>
      <c r="O48" s="193">
        <f t="shared" si="27"/>
        <v>1306762617.5700002</v>
      </c>
      <c r="P48" s="193">
        <f t="shared" si="27"/>
        <v>1494686795.5900002</v>
      </c>
      <c r="Q48" s="193">
        <f t="shared" si="27"/>
        <v>0</v>
      </c>
      <c r="R48" s="193">
        <f t="shared" si="27"/>
        <v>0</v>
      </c>
      <c r="S48" s="193">
        <f t="shared" si="27"/>
        <v>0</v>
      </c>
      <c r="T48" s="193">
        <f t="shared" si="27"/>
        <v>0</v>
      </c>
      <c r="U48" s="193">
        <f t="shared" si="27"/>
        <v>0</v>
      </c>
      <c r="V48" s="193">
        <f t="shared" si="27"/>
        <v>0</v>
      </c>
      <c r="W48" s="193">
        <f t="shared" si="27"/>
        <v>0</v>
      </c>
      <c r="X48" s="193">
        <f t="shared" si="27"/>
        <v>7603944591.03</v>
      </c>
      <c r="Y48" s="193">
        <f t="shared" si="27"/>
        <v>1119686596.6100001</v>
      </c>
      <c r="Z48" s="193">
        <f t="shared" si="27"/>
        <v>1255689671.1100001</v>
      </c>
      <c r="AA48" s="193">
        <f t="shared" si="27"/>
        <v>1426458049.15</v>
      </c>
      <c r="AB48" s="193">
        <f t="shared" si="27"/>
        <v>1416475255.5700002</v>
      </c>
      <c r="AC48" s="193">
        <f t="shared" si="27"/>
        <v>1463877996.5900002</v>
      </c>
      <c r="AD48" s="193">
        <f t="shared" si="27"/>
        <v>0</v>
      </c>
      <c r="AE48" s="193">
        <f t="shared" si="27"/>
        <v>0</v>
      </c>
      <c r="AF48" s="193">
        <f t="shared" si="27"/>
        <v>0</v>
      </c>
      <c r="AG48" s="193">
        <f t="shared" si="27"/>
        <v>0</v>
      </c>
      <c r="AH48" s="193">
        <f t="shared" si="27"/>
        <v>0</v>
      </c>
      <c r="AI48" s="193">
        <f t="shared" si="27"/>
        <v>0</v>
      </c>
      <c r="AJ48" s="193">
        <f t="shared" si="27"/>
        <v>0</v>
      </c>
      <c r="AK48" s="193">
        <f t="shared" si="27"/>
        <v>6750075896.83</v>
      </c>
      <c r="AL48" s="193">
        <f t="shared" si="27"/>
        <v>1119686596.6100001</v>
      </c>
      <c r="AM48" s="193">
        <f t="shared" si="27"/>
        <v>1255689671.1100001</v>
      </c>
      <c r="AN48" s="193">
        <f t="shared" si="27"/>
        <v>1349631876.15</v>
      </c>
      <c r="AO48" s="193">
        <f t="shared" si="27"/>
        <v>1493301428.5700002</v>
      </c>
      <c r="AP48" s="193">
        <f t="shared" si="27"/>
        <v>1463877996.5900002</v>
      </c>
      <c r="AQ48" s="193">
        <f t="shared" si="27"/>
        <v>0</v>
      </c>
      <c r="AR48" s="193">
        <f t="shared" si="27"/>
        <v>0</v>
      </c>
      <c r="AS48" s="193">
        <f t="shared" si="27"/>
        <v>0</v>
      </c>
      <c r="AT48" s="193">
        <f t="shared" si="27"/>
        <v>0</v>
      </c>
      <c r="AU48" s="193">
        <f t="shared" si="27"/>
        <v>0</v>
      </c>
      <c r="AV48" s="193">
        <f t="shared" si="27"/>
        <v>0</v>
      </c>
      <c r="AW48" s="193">
        <f t="shared" si="27"/>
        <v>0</v>
      </c>
      <c r="AX48" s="206">
        <f t="shared" si="27"/>
        <v>6682187569.03</v>
      </c>
      <c r="AY48" s="193">
        <f t="shared" si="27"/>
        <v>13791255408.970003</v>
      </c>
      <c r="AZ48" s="242">
        <f t="shared" si="27"/>
        <v>0</v>
      </c>
      <c r="BA48" s="242"/>
      <c r="BB48" s="253"/>
    </row>
    <row r="49" spans="1:54" s="7" customFormat="1" ht="36" customHeight="1" thickBot="1">
      <c r="A49" s="160"/>
      <c r="B49" s="161"/>
      <c r="C49" s="162"/>
      <c r="D49" s="162"/>
      <c r="E49" s="162"/>
      <c r="F49" s="163"/>
      <c r="G49" s="163"/>
      <c r="H49" s="162"/>
      <c r="I49" s="162"/>
      <c r="J49" s="164" t="s">
        <v>104</v>
      </c>
      <c r="K49" s="165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7"/>
      <c r="Y49" s="166"/>
      <c r="Z49" s="168"/>
      <c r="AA49" s="166"/>
      <c r="AB49" s="168"/>
      <c r="AC49" s="166"/>
      <c r="AD49" s="166"/>
      <c r="AE49" s="166"/>
      <c r="AF49" s="166"/>
      <c r="AG49" s="166"/>
      <c r="AH49" s="166"/>
      <c r="AI49" s="166"/>
      <c r="AJ49" s="166"/>
      <c r="AK49" s="169"/>
      <c r="AL49" s="166"/>
      <c r="AM49" s="170"/>
      <c r="AN49" s="166"/>
      <c r="AO49" s="166"/>
      <c r="AP49" s="166"/>
      <c r="AQ49" s="166"/>
      <c r="AR49" s="166"/>
      <c r="AS49" s="166"/>
      <c r="AT49" s="198"/>
      <c r="AU49" s="166"/>
      <c r="AV49" s="166"/>
      <c r="AW49" s="166"/>
      <c r="AX49" s="171"/>
      <c r="AY49" s="237"/>
      <c r="AZ49" s="237"/>
      <c r="BA49" s="237"/>
      <c r="BB49" s="251"/>
    </row>
    <row r="50" spans="1:54" s="7" customFormat="1" ht="30" customHeight="1">
      <c r="A50" s="125" t="s">
        <v>15</v>
      </c>
      <c r="B50" s="126" t="s">
        <v>48</v>
      </c>
      <c r="C50" s="147" t="s">
        <v>56</v>
      </c>
      <c r="D50" s="147" t="s">
        <v>50</v>
      </c>
      <c r="E50" s="148" t="s">
        <v>88</v>
      </c>
      <c r="F50" s="148"/>
      <c r="G50" s="148"/>
      <c r="H50" s="147"/>
      <c r="I50" s="147"/>
      <c r="J50" s="204" t="s">
        <v>105</v>
      </c>
      <c r="K50" s="149"/>
      <c r="L50" s="151"/>
      <c r="M50" s="151"/>
      <c r="N50" s="151"/>
      <c r="O50" s="149"/>
      <c r="P50" s="151"/>
      <c r="Q50" s="151"/>
      <c r="R50" s="151"/>
      <c r="S50" s="151"/>
      <c r="T50" s="151"/>
      <c r="U50" s="151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52"/>
      <c r="AM50" s="152"/>
      <c r="AN50" s="152"/>
      <c r="AO50" s="152"/>
      <c r="AP50" s="152"/>
      <c r="AQ50" s="152"/>
      <c r="AR50" s="152"/>
      <c r="AS50" s="152"/>
      <c r="AT50" s="149"/>
      <c r="AU50" s="149"/>
      <c r="AV50" s="152"/>
      <c r="AW50" s="152"/>
      <c r="AX50" s="149"/>
      <c r="AY50" s="238"/>
      <c r="AZ50" s="232"/>
      <c r="BA50" s="232"/>
      <c r="BB50" s="251"/>
    </row>
    <row r="51" spans="1:54" s="7" customFormat="1" ht="30" customHeight="1">
      <c r="A51" s="60" t="s">
        <v>15</v>
      </c>
      <c r="B51" s="40" t="s">
        <v>48</v>
      </c>
      <c r="C51" s="61" t="s">
        <v>56</v>
      </c>
      <c r="D51" s="61" t="s">
        <v>50</v>
      </c>
      <c r="E51" s="62" t="s">
        <v>88</v>
      </c>
      <c r="F51" s="62" t="s">
        <v>106</v>
      </c>
      <c r="G51" s="62"/>
      <c r="H51" s="61" t="s">
        <v>51</v>
      </c>
      <c r="I51" s="61" t="s">
        <v>52</v>
      </c>
      <c r="J51" s="65" t="s">
        <v>153</v>
      </c>
      <c r="K51" s="64">
        <f>35400000+33100000</f>
        <v>68500000</v>
      </c>
      <c r="L51" s="66"/>
      <c r="M51" s="66">
        <v>35009621.28</v>
      </c>
      <c r="N51" s="66"/>
      <c r="O51" s="188">
        <v>25945367.2</v>
      </c>
      <c r="P51" s="188">
        <v>4712600</v>
      </c>
      <c r="Q51" s="188"/>
      <c r="R51" s="188"/>
      <c r="S51" s="188"/>
      <c r="T51" s="188"/>
      <c r="U51" s="188"/>
      <c r="V51" s="188"/>
      <c r="W51" s="188"/>
      <c r="X51" s="149">
        <f aca="true" t="shared" si="28" ref="X51:X67">SUM(L51:W51)</f>
        <v>65667588.480000004</v>
      </c>
      <c r="Y51" s="86"/>
      <c r="Z51" s="69">
        <f>+M51</f>
        <v>35009621.28</v>
      </c>
      <c r="AA51" s="86"/>
      <c r="AB51" s="69">
        <f>+O51</f>
        <v>25945367.2</v>
      </c>
      <c r="AC51" s="86">
        <f>+P51</f>
        <v>4712600</v>
      </c>
      <c r="AD51" s="86"/>
      <c r="AE51" s="86"/>
      <c r="AF51" s="86"/>
      <c r="AG51" s="86"/>
      <c r="AH51" s="86"/>
      <c r="AI51" s="86"/>
      <c r="AJ51" s="86"/>
      <c r="AK51" s="152">
        <f aca="true" t="shared" si="29" ref="AK51:AK67">SUM(Y51:AJ51)</f>
        <v>65667588.480000004</v>
      </c>
      <c r="AL51" s="87"/>
      <c r="AM51" s="71">
        <f>+Z51</f>
        <v>35009621.28</v>
      </c>
      <c r="AN51" s="87"/>
      <c r="AO51" s="87">
        <f>+AB51</f>
        <v>25945367.2</v>
      </c>
      <c r="AP51" s="87"/>
      <c r="AQ51" s="87"/>
      <c r="AR51" s="87"/>
      <c r="AS51" s="71"/>
      <c r="AT51" s="196"/>
      <c r="AU51" s="71"/>
      <c r="AV51" s="71"/>
      <c r="AW51" s="71"/>
      <c r="AX51" s="153">
        <f aca="true" t="shared" si="30" ref="AX51:AX67">SUM(AL51:AW51)</f>
        <v>60954988.480000004</v>
      </c>
      <c r="AY51" s="235">
        <f aca="true" t="shared" si="31" ref="AY51:AY67">+K51-X51</f>
        <v>2832411.519999996</v>
      </c>
      <c r="AZ51" s="232"/>
      <c r="BA51" s="232"/>
      <c r="BB51" s="251"/>
    </row>
    <row r="52" spans="1:54" s="7" customFormat="1" ht="30" customHeight="1">
      <c r="A52" s="60" t="s">
        <v>15</v>
      </c>
      <c r="B52" s="40" t="s">
        <v>48</v>
      </c>
      <c r="C52" s="61" t="s">
        <v>56</v>
      </c>
      <c r="D52" s="61" t="s">
        <v>50</v>
      </c>
      <c r="E52" s="62" t="s">
        <v>88</v>
      </c>
      <c r="F52" s="62" t="s">
        <v>149</v>
      </c>
      <c r="G52" s="62"/>
      <c r="H52" s="61" t="s">
        <v>109</v>
      </c>
      <c r="I52" s="61" t="s">
        <v>52</v>
      </c>
      <c r="J52" s="65" t="s">
        <v>157</v>
      </c>
      <c r="K52" s="64">
        <v>100000</v>
      </c>
      <c r="L52" s="66"/>
      <c r="M52" s="66"/>
      <c r="N52" s="66"/>
      <c r="O52" s="188"/>
      <c r="P52" s="188"/>
      <c r="Q52" s="188"/>
      <c r="R52" s="188"/>
      <c r="S52" s="188"/>
      <c r="T52" s="188"/>
      <c r="U52" s="188"/>
      <c r="V52" s="188"/>
      <c r="W52" s="188"/>
      <c r="X52" s="149">
        <f t="shared" si="28"/>
        <v>0</v>
      </c>
      <c r="Y52" s="86"/>
      <c r="Z52" s="69"/>
      <c r="AA52" s="86"/>
      <c r="AB52" s="69"/>
      <c r="AC52" s="86"/>
      <c r="AD52" s="86"/>
      <c r="AE52" s="86"/>
      <c r="AF52" s="86"/>
      <c r="AG52" s="86"/>
      <c r="AH52" s="86"/>
      <c r="AI52" s="86"/>
      <c r="AJ52" s="86"/>
      <c r="AK52" s="152">
        <f t="shared" si="29"/>
        <v>0</v>
      </c>
      <c r="AL52" s="87"/>
      <c r="AM52" s="71"/>
      <c r="AN52" s="87"/>
      <c r="AO52" s="87"/>
      <c r="AP52" s="87"/>
      <c r="AQ52" s="87"/>
      <c r="AR52" s="87"/>
      <c r="AS52" s="71"/>
      <c r="AT52" s="196"/>
      <c r="AU52" s="71"/>
      <c r="AV52" s="71"/>
      <c r="AW52" s="71"/>
      <c r="AX52" s="153">
        <f t="shared" si="30"/>
        <v>0</v>
      </c>
      <c r="AY52" s="235">
        <f t="shared" si="31"/>
        <v>100000</v>
      </c>
      <c r="AZ52" s="232"/>
      <c r="BA52" s="232"/>
      <c r="BB52" s="251"/>
    </row>
    <row r="53" spans="1:54" s="7" customFormat="1" ht="30" customHeight="1">
      <c r="A53" s="60" t="s">
        <v>15</v>
      </c>
      <c r="B53" s="40" t="s">
        <v>48</v>
      </c>
      <c r="C53" s="61" t="s">
        <v>56</v>
      </c>
      <c r="D53" s="61" t="s">
        <v>50</v>
      </c>
      <c r="E53" s="62" t="s">
        <v>58</v>
      </c>
      <c r="F53" s="62"/>
      <c r="G53" s="62"/>
      <c r="H53" s="61" t="s">
        <v>51</v>
      </c>
      <c r="I53" s="61" t="s">
        <v>52</v>
      </c>
      <c r="J53" s="63" t="s">
        <v>107</v>
      </c>
      <c r="K53" s="88"/>
      <c r="L53" s="88"/>
      <c r="M53" s="149"/>
      <c r="N53" s="149"/>
      <c r="O53" s="88"/>
      <c r="P53" s="88"/>
      <c r="Q53" s="88"/>
      <c r="R53" s="88"/>
      <c r="S53" s="88"/>
      <c r="T53" s="149"/>
      <c r="U53" s="149"/>
      <c r="V53" s="149"/>
      <c r="W53" s="149"/>
      <c r="X53" s="88"/>
      <c r="Y53" s="149"/>
      <c r="Z53" s="149"/>
      <c r="AA53" s="149"/>
      <c r="AB53" s="149"/>
      <c r="AC53" s="149"/>
      <c r="AD53" s="149"/>
      <c r="AE53" s="149"/>
      <c r="AF53" s="149"/>
      <c r="AG53" s="152"/>
      <c r="AH53" s="153"/>
      <c r="AI53" s="149"/>
      <c r="AJ53" s="149"/>
      <c r="AK53" s="88"/>
      <c r="AL53" s="152"/>
      <c r="AM53" s="152"/>
      <c r="AN53" s="152"/>
      <c r="AO53" s="152"/>
      <c r="AP53" s="152"/>
      <c r="AQ53" s="152"/>
      <c r="AR53" s="152"/>
      <c r="AS53" s="152"/>
      <c r="AT53" s="153"/>
      <c r="AU53" s="149"/>
      <c r="AV53" s="149"/>
      <c r="AW53" s="149"/>
      <c r="AX53" s="88"/>
      <c r="AY53" s="238"/>
      <c r="AZ53" s="232"/>
      <c r="BA53" s="232"/>
      <c r="BB53" s="251"/>
    </row>
    <row r="54" spans="1:54" s="7" customFormat="1" ht="30" customHeight="1">
      <c r="A54" s="60" t="s">
        <v>15</v>
      </c>
      <c r="B54" s="40" t="s">
        <v>48</v>
      </c>
      <c r="C54" s="61" t="s">
        <v>56</v>
      </c>
      <c r="D54" s="61" t="s">
        <v>50</v>
      </c>
      <c r="E54" s="62" t="s">
        <v>58</v>
      </c>
      <c r="F54" s="62" t="s">
        <v>49</v>
      </c>
      <c r="G54" s="62"/>
      <c r="H54" s="61" t="s">
        <v>51</v>
      </c>
      <c r="I54" s="61" t="s">
        <v>52</v>
      </c>
      <c r="J54" s="65" t="s">
        <v>168</v>
      </c>
      <c r="K54" s="64">
        <f>150000000-94100000</f>
        <v>55900000</v>
      </c>
      <c r="L54" s="67"/>
      <c r="M54" s="67"/>
      <c r="N54" s="67"/>
      <c r="O54" s="67"/>
      <c r="P54" s="190">
        <v>1007437</v>
      </c>
      <c r="Q54" s="190"/>
      <c r="R54" s="190"/>
      <c r="S54" s="190"/>
      <c r="T54" s="190"/>
      <c r="U54" s="190"/>
      <c r="V54" s="190"/>
      <c r="W54" s="190"/>
      <c r="X54" s="149">
        <f t="shared" si="28"/>
        <v>1007437</v>
      </c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152">
        <f t="shared" si="29"/>
        <v>0</v>
      </c>
      <c r="AL54" s="71"/>
      <c r="AM54" s="71"/>
      <c r="AN54" s="71"/>
      <c r="AO54" s="71"/>
      <c r="AP54" s="71"/>
      <c r="AQ54" s="71"/>
      <c r="AR54" s="71"/>
      <c r="AS54" s="71"/>
      <c r="AT54" s="72"/>
      <c r="AU54" s="71"/>
      <c r="AV54" s="71"/>
      <c r="AW54" s="71"/>
      <c r="AX54" s="153">
        <f t="shared" si="30"/>
        <v>0</v>
      </c>
      <c r="AY54" s="235">
        <f t="shared" si="31"/>
        <v>54892563</v>
      </c>
      <c r="AZ54" s="232"/>
      <c r="BA54" s="232"/>
      <c r="BB54" s="251"/>
    </row>
    <row r="55" spans="1:54" s="7" customFormat="1" ht="30" customHeight="1">
      <c r="A55" s="60" t="s">
        <v>15</v>
      </c>
      <c r="B55" s="40" t="s">
        <v>48</v>
      </c>
      <c r="C55" s="61" t="s">
        <v>56</v>
      </c>
      <c r="D55" s="61" t="s">
        <v>50</v>
      </c>
      <c r="E55" s="62" t="s">
        <v>58</v>
      </c>
      <c r="F55" s="62" t="s">
        <v>51</v>
      </c>
      <c r="G55" s="62"/>
      <c r="H55" s="61" t="s">
        <v>51</v>
      </c>
      <c r="I55" s="61" t="s">
        <v>52</v>
      </c>
      <c r="J55" s="65" t="s">
        <v>108</v>
      </c>
      <c r="K55" s="64">
        <v>10000000</v>
      </c>
      <c r="L55" s="67">
        <v>500000</v>
      </c>
      <c r="M55" s="67"/>
      <c r="N55" s="67"/>
      <c r="O55" s="66"/>
      <c r="P55" s="150">
        <v>7000000</v>
      </c>
      <c r="Q55" s="150"/>
      <c r="R55" s="150"/>
      <c r="S55" s="150"/>
      <c r="T55" s="150"/>
      <c r="U55" s="150"/>
      <c r="V55" s="150"/>
      <c r="W55" s="150"/>
      <c r="X55" s="149">
        <f t="shared" si="28"/>
        <v>7500000</v>
      </c>
      <c r="Y55" s="69">
        <v>500000</v>
      </c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152">
        <f t="shared" si="29"/>
        <v>500000</v>
      </c>
      <c r="AL55" s="71">
        <v>500000</v>
      </c>
      <c r="AM55" s="71"/>
      <c r="AN55" s="71"/>
      <c r="AO55" s="71"/>
      <c r="AP55" s="71"/>
      <c r="AQ55" s="71"/>
      <c r="AR55" s="71"/>
      <c r="AS55" s="71"/>
      <c r="AT55" s="72"/>
      <c r="AU55" s="71"/>
      <c r="AV55" s="71"/>
      <c r="AW55" s="71"/>
      <c r="AX55" s="153">
        <f t="shared" si="30"/>
        <v>500000</v>
      </c>
      <c r="AY55" s="235">
        <f t="shared" si="31"/>
        <v>2500000</v>
      </c>
      <c r="AZ55" s="232"/>
      <c r="BA55" s="232"/>
      <c r="BB55" s="251"/>
    </row>
    <row r="56" spans="1:54" s="7" customFormat="1" ht="30" customHeight="1">
      <c r="A56" s="60" t="s">
        <v>15</v>
      </c>
      <c r="B56" s="40" t="s">
        <v>48</v>
      </c>
      <c r="C56" s="61" t="s">
        <v>56</v>
      </c>
      <c r="D56" s="61" t="s">
        <v>50</v>
      </c>
      <c r="E56" s="62" t="s">
        <v>58</v>
      </c>
      <c r="F56" s="62" t="s">
        <v>109</v>
      </c>
      <c r="G56" s="62"/>
      <c r="H56" s="61" t="s">
        <v>51</v>
      </c>
      <c r="I56" s="61" t="s">
        <v>52</v>
      </c>
      <c r="J56" s="65" t="s">
        <v>154</v>
      </c>
      <c r="K56" s="64">
        <v>860000000</v>
      </c>
      <c r="L56" s="67">
        <v>546984092.5</v>
      </c>
      <c r="M56" s="67">
        <v>41101981</v>
      </c>
      <c r="N56" s="67">
        <v>26670854.5</v>
      </c>
      <c r="O56" s="67">
        <v>73323950</v>
      </c>
      <c r="P56" s="190">
        <v>98605723.5</v>
      </c>
      <c r="Q56" s="190"/>
      <c r="R56" s="190"/>
      <c r="S56" s="190"/>
      <c r="T56" s="190"/>
      <c r="U56" s="190"/>
      <c r="V56" s="190"/>
      <c r="W56" s="190"/>
      <c r="X56" s="149">
        <f t="shared" si="28"/>
        <v>786686601.5</v>
      </c>
      <c r="Y56" s="69">
        <v>39429308.5</v>
      </c>
      <c r="Z56" s="69">
        <f>+M56</f>
        <v>41101981</v>
      </c>
      <c r="AA56" s="69">
        <f>+N56</f>
        <v>26670854.5</v>
      </c>
      <c r="AB56" s="69">
        <v>133053901</v>
      </c>
      <c r="AC56" s="69">
        <v>150755555.5</v>
      </c>
      <c r="AD56" s="69"/>
      <c r="AE56" s="69"/>
      <c r="AF56" s="69"/>
      <c r="AG56" s="69"/>
      <c r="AH56" s="69"/>
      <c r="AI56" s="69"/>
      <c r="AJ56" s="69"/>
      <c r="AK56" s="152">
        <f t="shared" si="29"/>
        <v>391011600.5</v>
      </c>
      <c r="AL56" s="71">
        <v>35740879.5</v>
      </c>
      <c r="AM56" s="71">
        <v>30446537</v>
      </c>
      <c r="AN56" s="71">
        <v>41014727.5</v>
      </c>
      <c r="AO56" s="71">
        <v>142529090</v>
      </c>
      <c r="AP56" s="71">
        <v>141280366.5</v>
      </c>
      <c r="AQ56" s="71"/>
      <c r="AR56" s="71"/>
      <c r="AS56" s="71"/>
      <c r="AT56" s="72"/>
      <c r="AU56" s="71"/>
      <c r="AV56" s="71"/>
      <c r="AW56" s="71"/>
      <c r="AX56" s="153">
        <f t="shared" si="30"/>
        <v>391011600.5</v>
      </c>
      <c r="AY56" s="235">
        <f t="shared" si="31"/>
        <v>73313398.5</v>
      </c>
      <c r="AZ56" s="232"/>
      <c r="BA56" s="232"/>
      <c r="BB56" s="251"/>
    </row>
    <row r="57" spans="1:54" s="7" customFormat="1" ht="30" customHeight="1">
      <c r="A57" s="60"/>
      <c r="B57" s="40" t="s">
        <v>48</v>
      </c>
      <c r="C57" s="61" t="s">
        <v>56</v>
      </c>
      <c r="D57" s="61" t="s">
        <v>50</v>
      </c>
      <c r="E57" s="62" t="s">
        <v>58</v>
      </c>
      <c r="F57" s="62" t="s">
        <v>109</v>
      </c>
      <c r="G57" s="62"/>
      <c r="H57" s="61" t="s">
        <v>74</v>
      </c>
      <c r="I57" s="61" t="s">
        <v>52</v>
      </c>
      <c r="J57" s="65" t="s">
        <v>154</v>
      </c>
      <c r="K57" s="64">
        <v>132400000</v>
      </c>
      <c r="L57" s="67">
        <v>132400000</v>
      </c>
      <c r="M57" s="67"/>
      <c r="N57" s="67"/>
      <c r="O57" s="67"/>
      <c r="P57" s="190"/>
      <c r="Q57" s="190"/>
      <c r="R57" s="190"/>
      <c r="S57" s="190"/>
      <c r="T57" s="190"/>
      <c r="U57" s="190"/>
      <c r="V57" s="190"/>
      <c r="W57" s="190"/>
      <c r="X57" s="149">
        <f t="shared" si="28"/>
        <v>132400000</v>
      </c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152">
        <f t="shared" si="29"/>
        <v>0</v>
      </c>
      <c r="AL57" s="71"/>
      <c r="AM57" s="71"/>
      <c r="AN57" s="71"/>
      <c r="AO57" s="71"/>
      <c r="AP57" s="71"/>
      <c r="AQ57" s="71"/>
      <c r="AR57" s="71"/>
      <c r="AS57" s="71"/>
      <c r="AT57" s="72"/>
      <c r="AU57" s="71"/>
      <c r="AV57" s="71"/>
      <c r="AW57" s="71"/>
      <c r="AX57" s="153">
        <f t="shared" si="30"/>
        <v>0</v>
      </c>
      <c r="AY57" s="235">
        <f t="shared" si="31"/>
        <v>0</v>
      </c>
      <c r="AZ57" s="232"/>
      <c r="BA57" s="232"/>
      <c r="BB57" s="251"/>
    </row>
    <row r="58" spans="1:54" s="7" customFormat="1" ht="30" customHeight="1">
      <c r="A58" s="60" t="s">
        <v>15</v>
      </c>
      <c r="B58" s="40" t="s">
        <v>48</v>
      </c>
      <c r="C58" s="61" t="s">
        <v>56</v>
      </c>
      <c r="D58" s="61" t="s">
        <v>50</v>
      </c>
      <c r="E58" s="62" t="s">
        <v>58</v>
      </c>
      <c r="F58" s="62" t="s">
        <v>70</v>
      </c>
      <c r="G58" s="62"/>
      <c r="H58" s="61" t="s">
        <v>51</v>
      </c>
      <c r="I58" s="61" t="s">
        <v>52</v>
      </c>
      <c r="J58" s="65" t="s">
        <v>110</v>
      </c>
      <c r="K58" s="64">
        <v>10000000</v>
      </c>
      <c r="L58" s="67">
        <v>1000000</v>
      </c>
      <c r="M58" s="67"/>
      <c r="N58" s="67"/>
      <c r="O58" s="67"/>
      <c r="P58" s="190">
        <v>4400</v>
      </c>
      <c r="Q58" s="190"/>
      <c r="R58" s="190"/>
      <c r="S58" s="190"/>
      <c r="T58" s="190"/>
      <c r="U58" s="190"/>
      <c r="V58" s="190"/>
      <c r="W58" s="190"/>
      <c r="X58" s="149">
        <f t="shared" si="28"/>
        <v>1004400</v>
      </c>
      <c r="Y58" s="69">
        <f>+L58</f>
        <v>1000000</v>
      </c>
      <c r="Z58" s="69"/>
      <c r="AA58" s="69"/>
      <c r="AB58" s="69"/>
      <c r="AC58" s="69">
        <f>+P58</f>
        <v>4400</v>
      </c>
      <c r="AD58" s="69"/>
      <c r="AE58" s="69"/>
      <c r="AF58" s="69"/>
      <c r="AG58" s="69"/>
      <c r="AH58" s="69"/>
      <c r="AI58" s="69"/>
      <c r="AJ58" s="69"/>
      <c r="AK58" s="152">
        <f t="shared" si="29"/>
        <v>1004400</v>
      </c>
      <c r="AL58" s="71">
        <f>+Y58</f>
        <v>1000000</v>
      </c>
      <c r="AM58" s="71"/>
      <c r="AN58" s="71"/>
      <c r="AO58" s="71"/>
      <c r="AP58" s="71">
        <f>+AC58</f>
        <v>4400</v>
      </c>
      <c r="AQ58" s="71"/>
      <c r="AR58" s="71"/>
      <c r="AS58" s="71"/>
      <c r="AT58" s="72"/>
      <c r="AU58" s="71"/>
      <c r="AV58" s="71"/>
      <c r="AW58" s="71"/>
      <c r="AX58" s="153">
        <f t="shared" si="30"/>
        <v>1004400</v>
      </c>
      <c r="AY58" s="235">
        <f t="shared" si="31"/>
        <v>8995600</v>
      </c>
      <c r="AZ58" s="232"/>
      <c r="BA58" s="232"/>
      <c r="BB58" s="251"/>
    </row>
    <row r="59" spans="1:54" s="7" customFormat="1" ht="30" customHeight="1">
      <c r="A59" s="60" t="s">
        <v>15</v>
      </c>
      <c r="B59" s="40" t="s">
        <v>48</v>
      </c>
      <c r="C59" s="61" t="s">
        <v>56</v>
      </c>
      <c r="D59" s="61" t="s">
        <v>50</v>
      </c>
      <c r="E59" s="62" t="s">
        <v>58</v>
      </c>
      <c r="F59" s="62" t="s">
        <v>56</v>
      </c>
      <c r="G59" s="62"/>
      <c r="H59" s="61" t="s">
        <v>51</v>
      </c>
      <c r="I59" s="61" t="s">
        <v>52</v>
      </c>
      <c r="J59" s="65" t="s">
        <v>111</v>
      </c>
      <c r="K59" s="64">
        <f>10000000-5000000</f>
        <v>5000000</v>
      </c>
      <c r="L59" s="67">
        <v>500000</v>
      </c>
      <c r="M59" s="67">
        <v>1047600</v>
      </c>
      <c r="N59" s="67"/>
      <c r="O59" s="67">
        <v>215000</v>
      </c>
      <c r="P59" s="190"/>
      <c r="Q59" s="190"/>
      <c r="R59" s="190"/>
      <c r="S59" s="190"/>
      <c r="T59" s="190"/>
      <c r="U59" s="190"/>
      <c r="V59" s="190"/>
      <c r="W59" s="190"/>
      <c r="X59" s="149">
        <f t="shared" si="28"/>
        <v>1762600</v>
      </c>
      <c r="Y59" s="69">
        <f>+L59</f>
        <v>500000</v>
      </c>
      <c r="Z59" s="69"/>
      <c r="AA59" s="69"/>
      <c r="AB59" s="69">
        <v>1262600</v>
      </c>
      <c r="AC59" s="69"/>
      <c r="AD59" s="69"/>
      <c r="AE59" s="69"/>
      <c r="AF59" s="69"/>
      <c r="AG59" s="69"/>
      <c r="AH59" s="69"/>
      <c r="AI59" s="69"/>
      <c r="AJ59" s="69"/>
      <c r="AK59" s="152">
        <f t="shared" si="29"/>
        <v>1762600</v>
      </c>
      <c r="AL59" s="71">
        <f>+Y59</f>
        <v>500000</v>
      </c>
      <c r="AM59" s="71"/>
      <c r="AN59" s="71"/>
      <c r="AO59" s="71">
        <f>+AB59</f>
        <v>1262600</v>
      </c>
      <c r="AP59" s="71"/>
      <c r="AQ59" s="71"/>
      <c r="AR59" s="71"/>
      <c r="AS59" s="71"/>
      <c r="AT59" s="72"/>
      <c r="AU59" s="71"/>
      <c r="AV59" s="71"/>
      <c r="AW59" s="71"/>
      <c r="AX59" s="153">
        <f t="shared" si="30"/>
        <v>1762600</v>
      </c>
      <c r="AY59" s="235">
        <f t="shared" si="31"/>
        <v>3237400</v>
      </c>
      <c r="AZ59" s="232"/>
      <c r="BA59" s="232"/>
      <c r="BB59" s="251"/>
    </row>
    <row r="60" spans="1:54" s="7" customFormat="1" ht="51" customHeight="1">
      <c r="A60" s="60" t="s">
        <v>15</v>
      </c>
      <c r="B60" s="40" t="s">
        <v>48</v>
      </c>
      <c r="C60" s="61" t="s">
        <v>56</v>
      </c>
      <c r="D60" s="61" t="s">
        <v>50</v>
      </c>
      <c r="E60" s="62" t="s">
        <v>58</v>
      </c>
      <c r="F60" s="62" t="s">
        <v>79</v>
      </c>
      <c r="G60" s="62"/>
      <c r="H60" s="61" t="s">
        <v>51</v>
      </c>
      <c r="I60" s="61" t="s">
        <v>52</v>
      </c>
      <c r="J60" s="65" t="s">
        <v>112</v>
      </c>
      <c r="K60" s="64">
        <v>100000000</v>
      </c>
      <c r="L60" s="89">
        <v>300000</v>
      </c>
      <c r="M60" s="89"/>
      <c r="N60" s="89">
        <v>4030400</v>
      </c>
      <c r="O60" s="89">
        <v>14518661</v>
      </c>
      <c r="P60" s="189">
        <v>72000</v>
      </c>
      <c r="Q60" s="189"/>
      <c r="R60" s="189"/>
      <c r="S60" s="189"/>
      <c r="T60" s="190"/>
      <c r="U60" s="189"/>
      <c r="V60" s="189"/>
      <c r="W60" s="189"/>
      <c r="X60" s="149">
        <f t="shared" si="28"/>
        <v>18921061</v>
      </c>
      <c r="Y60" s="69">
        <f>+L60</f>
        <v>300000</v>
      </c>
      <c r="Z60" s="69"/>
      <c r="AA60" s="69"/>
      <c r="AB60" s="69"/>
      <c r="AC60" s="69">
        <v>1374950</v>
      </c>
      <c r="AD60" s="69"/>
      <c r="AE60" s="69"/>
      <c r="AF60" s="69"/>
      <c r="AG60" s="69"/>
      <c r="AH60" s="69"/>
      <c r="AI60" s="69"/>
      <c r="AJ60" s="69"/>
      <c r="AK60" s="152">
        <f t="shared" si="29"/>
        <v>1674950</v>
      </c>
      <c r="AL60" s="71">
        <f>+Y60</f>
        <v>300000</v>
      </c>
      <c r="AM60" s="71"/>
      <c r="AN60" s="71"/>
      <c r="AO60" s="71"/>
      <c r="AP60" s="71">
        <v>1374950</v>
      </c>
      <c r="AQ60" s="71"/>
      <c r="AR60" s="71"/>
      <c r="AS60" s="71"/>
      <c r="AT60" s="72"/>
      <c r="AU60" s="71"/>
      <c r="AV60" s="71"/>
      <c r="AW60" s="71"/>
      <c r="AX60" s="153">
        <f t="shared" si="30"/>
        <v>1674950</v>
      </c>
      <c r="AY60" s="235">
        <f t="shared" si="31"/>
        <v>81078939</v>
      </c>
      <c r="AZ60" s="232"/>
      <c r="BA60" s="232"/>
      <c r="BB60" s="251"/>
    </row>
    <row r="61" spans="1:54" s="7" customFormat="1" ht="30" customHeight="1">
      <c r="A61" s="60" t="s">
        <v>15</v>
      </c>
      <c r="B61" s="40" t="s">
        <v>48</v>
      </c>
      <c r="C61" s="61" t="s">
        <v>56</v>
      </c>
      <c r="D61" s="61" t="s">
        <v>50</v>
      </c>
      <c r="E61" s="62" t="s">
        <v>58</v>
      </c>
      <c r="F61" s="62" t="s">
        <v>58</v>
      </c>
      <c r="G61" s="62"/>
      <c r="H61" s="61" t="s">
        <v>51</v>
      </c>
      <c r="I61" s="61" t="s">
        <v>52</v>
      </c>
      <c r="J61" s="65" t="s">
        <v>113</v>
      </c>
      <c r="K61" s="64">
        <f>500000000-40000000</f>
        <v>460000000</v>
      </c>
      <c r="L61" s="89">
        <v>183484000</v>
      </c>
      <c r="M61" s="89"/>
      <c r="N61" s="89">
        <v>520900</v>
      </c>
      <c r="O61" s="89">
        <v>73971849</v>
      </c>
      <c r="P61" s="189">
        <v>26902696</v>
      </c>
      <c r="Q61" s="189"/>
      <c r="R61" s="189"/>
      <c r="S61" s="189"/>
      <c r="T61" s="189"/>
      <c r="U61" s="189"/>
      <c r="V61" s="189"/>
      <c r="W61" s="189"/>
      <c r="X61" s="149">
        <f t="shared" si="28"/>
        <v>284879445</v>
      </c>
      <c r="Y61" s="69">
        <v>5500000</v>
      </c>
      <c r="Z61" s="69">
        <v>8320971</v>
      </c>
      <c r="AA61" s="69">
        <v>9303747</v>
      </c>
      <c r="AB61" s="69">
        <v>7987149</v>
      </c>
      <c r="AC61" s="69">
        <v>40698633</v>
      </c>
      <c r="AD61" s="69"/>
      <c r="AE61" s="69"/>
      <c r="AF61" s="69"/>
      <c r="AG61" s="69"/>
      <c r="AH61" s="69"/>
      <c r="AI61" s="69"/>
      <c r="AJ61" s="69"/>
      <c r="AK61" s="152">
        <f t="shared" si="29"/>
        <v>71810500</v>
      </c>
      <c r="AL61" s="71">
        <v>5500000</v>
      </c>
      <c r="AM61" s="71">
        <f>+Z61</f>
        <v>8320971</v>
      </c>
      <c r="AN61" s="71">
        <v>9303747</v>
      </c>
      <c r="AO61" s="71">
        <f>+AB61</f>
        <v>7987149</v>
      </c>
      <c r="AP61" s="71">
        <f>+AC61</f>
        <v>40698633</v>
      </c>
      <c r="AQ61" s="71"/>
      <c r="AR61" s="71"/>
      <c r="AS61" s="71"/>
      <c r="AT61" s="72"/>
      <c r="AU61" s="71"/>
      <c r="AV61" s="71"/>
      <c r="AW61" s="71"/>
      <c r="AX61" s="153">
        <f t="shared" si="30"/>
        <v>71810500</v>
      </c>
      <c r="AY61" s="235">
        <f t="shared" si="31"/>
        <v>175120555</v>
      </c>
      <c r="AZ61" s="232"/>
      <c r="BA61" s="232"/>
      <c r="BB61" s="251"/>
    </row>
    <row r="62" spans="1:54" s="7" customFormat="1" ht="42" customHeight="1">
      <c r="A62" s="60" t="s">
        <v>15</v>
      </c>
      <c r="B62" s="40" t="s">
        <v>48</v>
      </c>
      <c r="C62" s="61" t="s">
        <v>56</v>
      </c>
      <c r="D62" s="61" t="s">
        <v>50</v>
      </c>
      <c r="E62" s="62" t="s">
        <v>58</v>
      </c>
      <c r="F62" s="62" t="s">
        <v>114</v>
      </c>
      <c r="G62" s="62"/>
      <c r="H62" s="61" t="s">
        <v>51</v>
      </c>
      <c r="I62" s="61" t="s">
        <v>52</v>
      </c>
      <c r="J62" s="65" t="s">
        <v>115</v>
      </c>
      <c r="K62" s="64">
        <f>16600000-7000000</f>
        <v>9600000</v>
      </c>
      <c r="L62" s="89">
        <v>1000000</v>
      </c>
      <c r="M62" s="89"/>
      <c r="N62" s="89"/>
      <c r="O62" s="89">
        <v>194400</v>
      </c>
      <c r="P62" s="189"/>
      <c r="Q62" s="189"/>
      <c r="R62" s="189"/>
      <c r="S62" s="189"/>
      <c r="T62" s="189"/>
      <c r="U62" s="189"/>
      <c r="V62" s="189"/>
      <c r="W62" s="189"/>
      <c r="X62" s="149">
        <f t="shared" si="28"/>
        <v>1194400</v>
      </c>
      <c r="Y62" s="69">
        <f>+L62</f>
        <v>1000000</v>
      </c>
      <c r="Z62" s="69"/>
      <c r="AA62" s="69"/>
      <c r="AB62" s="68">
        <f>+O62</f>
        <v>194400</v>
      </c>
      <c r="AC62" s="69"/>
      <c r="AD62" s="69"/>
      <c r="AE62" s="90"/>
      <c r="AF62" s="69"/>
      <c r="AG62" s="69"/>
      <c r="AH62" s="69"/>
      <c r="AI62" s="69"/>
      <c r="AJ62" s="69"/>
      <c r="AK62" s="152">
        <f t="shared" si="29"/>
        <v>1194400</v>
      </c>
      <c r="AL62" s="71">
        <f aca="true" t="shared" si="32" ref="AL62:AL67">+Y62</f>
        <v>1000000</v>
      </c>
      <c r="AM62" s="71"/>
      <c r="AN62" s="71"/>
      <c r="AO62" s="71">
        <f>+AB62</f>
        <v>194400</v>
      </c>
      <c r="AP62" s="71"/>
      <c r="AQ62" s="71"/>
      <c r="AR62" s="71"/>
      <c r="AS62" s="71"/>
      <c r="AT62" s="72"/>
      <c r="AU62" s="71"/>
      <c r="AV62" s="71"/>
      <c r="AW62" s="71"/>
      <c r="AX62" s="153">
        <f t="shared" si="30"/>
        <v>1194400</v>
      </c>
      <c r="AY62" s="235">
        <f t="shared" si="31"/>
        <v>8405600</v>
      </c>
      <c r="AZ62" s="232"/>
      <c r="BA62" s="232"/>
      <c r="BB62" s="251"/>
    </row>
    <row r="63" spans="1:54" s="7" customFormat="1" ht="30" customHeight="1">
      <c r="A63" s="60" t="s">
        <v>15</v>
      </c>
      <c r="B63" s="40" t="s">
        <v>48</v>
      </c>
      <c r="C63" s="61" t="s">
        <v>56</v>
      </c>
      <c r="D63" s="61" t="s">
        <v>50</v>
      </c>
      <c r="E63" s="62" t="s">
        <v>58</v>
      </c>
      <c r="F63" s="62" t="s">
        <v>64</v>
      </c>
      <c r="G63" s="62"/>
      <c r="H63" s="61" t="s">
        <v>51</v>
      </c>
      <c r="I63" s="61" t="s">
        <v>52</v>
      </c>
      <c r="J63" s="65" t="s">
        <v>116</v>
      </c>
      <c r="K63" s="64">
        <f>800000000+60000000</f>
        <v>860000000</v>
      </c>
      <c r="L63" s="89">
        <v>668392067</v>
      </c>
      <c r="M63" s="89">
        <v>65451972</v>
      </c>
      <c r="N63" s="89">
        <v>68596600</v>
      </c>
      <c r="O63" s="89">
        <v>210599</v>
      </c>
      <c r="P63" s="189">
        <v>112000</v>
      </c>
      <c r="Q63" s="189"/>
      <c r="R63" s="189"/>
      <c r="S63" s="189"/>
      <c r="T63" s="189"/>
      <c r="U63" s="189"/>
      <c r="V63" s="189"/>
      <c r="W63" s="189"/>
      <c r="X63" s="149">
        <f t="shared" si="28"/>
        <v>802763238</v>
      </c>
      <c r="Y63" s="68">
        <v>1000000</v>
      </c>
      <c r="Z63" s="68"/>
      <c r="AA63" s="68">
        <v>127427868.63</v>
      </c>
      <c r="AB63" s="68">
        <f>53413303+59490</f>
        <v>53472793</v>
      </c>
      <c r="AC63" s="68">
        <v>122292038.5</v>
      </c>
      <c r="AD63" s="68"/>
      <c r="AE63" s="68"/>
      <c r="AF63" s="68"/>
      <c r="AG63" s="68"/>
      <c r="AH63" s="68"/>
      <c r="AI63" s="68"/>
      <c r="AJ63" s="68"/>
      <c r="AK63" s="152">
        <f>SUM(Y63:AJ63)</f>
        <v>304192700.13</v>
      </c>
      <c r="AL63" s="71">
        <f t="shared" si="32"/>
        <v>1000000</v>
      </c>
      <c r="AM63" s="71"/>
      <c r="AN63" s="71">
        <v>80088780.25</v>
      </c>
      <c r="AO63" s="71">
        <v>129769381.38</v>
      </c>
      <c r="AP63" s="71">
        <v>93334538.5</v>
      </c>
      <c r="AQ63" s="71"/>
      <c r="AR63" s="71"/>
      <c r="AS63" s="71"/>
      <c r="AT63" s="72"/>
      <c r="AU63" s="71"/>
      <c r="AV63" s="71"/>
      <c r="AW63" s="71"/>
      <c r="AX63" s="153">
        <f t="shared" si="30"/>
        <v>304192700.13</v>
      </c>
      <c r="AY63" s="235">
        <f t="shared" si="31"/>
        <v>57236762</v>
      </c>
      <c r="AZ63" s="232"/>
      <c r="BA63" s="232"/>
      <c r="BB63" s="251"/>
    </row>
    <row r="64" spans="1:54" s="7" customFormat="1" ht="30" customHeight="1">
      <c r="A64" s="60" t="s">
        <v>15</v>
      </c>
      <c r="B64" s="40" t="s">
        <v>48</v>
      </c>
      <c r="C64" s="61" t="s">
        <v>56</v>
      </c>
      <c r="D64" s="61" t="s">
        <v>50</v>
      </c>
      <c r="E64" s="62" t="s">
        <v>58</v>
      </c>
      <c r="F64" s="62" t="s">
        <v>96</v>
      </c>
      <c r="G64" s="62"/>
      <c r="H64" s="61" t="s">
        <v>51</v>
      </c>
      <c r="I64" s="61" t="s">
        <v>52</v>
      </c>
      <c r="J64" s="65" t="s">
        <v>117</v>
      </c>
      <c r="K64" s="64">
        <f>350000000-10000000</f>
        <v>340000000</v>
      </c>
      <c r="L64" s="89">
        <v>319364819.2</v>
      </c>
      <c r="M64" s="89"/>
      <c r="N64" s="89"/>
      <c r="O64" s="89">
        <v>227270</v>
      </c>
      <c r="P64" s="189">
        <v>11208900</v>
      </c>
      <c r="Q64" s="189"/>
      <c r="R64" s="189"/>
      <c r="S64" s="189"/>
      <c r="T64" s="189"/>
      <c r="U64" s="189"/>
      <c r="V64" s="189"/>
      <c r="W64" s="189"/>
      <c r="X64" s="149">
        <f t="shared" si="28"/>
        <v>330800989.2</v>
      </c>
      <c r="Y64" s="68">
        <v>1000000</v>
      </c>
      <c r="Z64" s="69">
        <v>14210571.62</v>
      </c>
      <c r="AA64" s="69">
        <v>5307493</v>
      </c>
      <c r="AB64" s="91">
        <v>41244913.24</v>
      </c>
      <c r="AC64" s="69">
        <v>27983171.62</v>
      </c>
      <c r="AD64" s="69"/>
      <c r="AE64" s="69"/>
      <c r="AF64" s="69"/>
      <c r="AG64" s="69"/>
      <c r="AH64" s="69"/>
      <c r="AI64" s="69"/>
      <c r="AJ64" s="69"/>
      <c r="AK64" s="152">
        <f t="shared" si="29"/>
        <v>89746149.48</v>
      </c>
      <c r="AL64" s="71">
        <f t="shared" si="32"/>
        <v>1000000</v>
      </c>
      <c r="AM64" s="71">
        <f>+Z64</f>
        <v>14210571.62</v>
      </c>
      <c r="AN64" s="71">
        <v>5307493</v>
      </c>
      <c r="AO64" s="71">
        <v>41244913.24</v>
      </c>
      <c r="AP64" s="71">
        <f>+AC64</f>
        <v>27983171.62</v>
      </c>
      <c r="AQ64" s="71"/>
      <c r="AR64" s="71"/>
      <c r="AS64" s="71"/>
      <c r="AT64" s="72"/>
      <c r="AU64" s="71"/>
      <c r="AV64" s="71"/>
      <c r="AW64" s="71"/>
      <c r="AX64" s="153">
        <f t="shared" si="30"/>
        <v>89746149.48</v>
      </c>
      <c r="AY64" s="235">
        <f t="shared" si="31"/>
        <v>9199010.800000012</v>
      </c>
      <c r="AZ64" s="232"/>
      <c r="BA64" s="232"/>
      <c r="BB64" s="251"/>
    </row>
    <row r="65" spans="1:54" s="7" customFormat="1" ht="30" customHeight="1">
      <c r="A65" s="60" t="s">
        <v>15</v>
      </c>
      <c r="B65" s="40" t="s">
        <v>48</v>
      </c>
      <c r="C65" s="61" t="s">
        <v>56</v>
      </c>
      <c r="D65" s="61" t="s">
        <v>50</v>
      </c>
      <c r="E65" s="62" t="s">
        <v>58</v>
      </c>
      <c r="F65" s="62" t="s">
        <v>98</v>
      </c>
      <c r="G65" s="62"/>
      <c r="H65" s="61" t="s">
        <v>51</v>
      </c>
      <c r="I65" s="61" t="s">
        <v>52</v>
      </c>
      <c r="J65" s="65" t="s">
        <v>118</v>
      </c>
      <c r="K65" s="64">
        <v>100000000</v>
      </c>
      <c r="L65" s="89">
        <v>81540000</v>
      </c>
      <c r="M65" s="89"/>
      <c r="N65" s="89">
        <v>1250000</v>
      </c>
      <c r="O65" s="89">
        <v>653780</v>
      </c>
      <c r="P65" s="189">
        <v>509292</v>
      </c>
      <c r="Q65" s="189"/>
      <c r="R65" s="189"/>
      <c r="S65" s="189"/>
      <c r="T65" s="189"/>
      <c r="U65" s="189"/>
      <c r="V65" s="189"/>
      <c r="W65" s="189"/>
      <c r="X65" s="149">
        <f t="shared" si="28"/>
        <v>83953072</v>
      </c>
      <c r="Y65" s="68">
        <v>1200000</v>
      </c>
      <c r="Z65" s="69">
        <v>1975000</v>
      </c>
      <c r="AA65" s="91">
        <v>1392800</v>
      </c>
      <c r="AB65" s="68">
        <v>2418080</v>
      </c>
      <c r="AC65" s="91">
        <v>7827292</v>
      </c>
      <c r="AD65" s="91"/>
      <c r="AE65" s="91"/>
      <c r="AF65" s="91"/>
      <c r="AG65" s="91"/>
      <c r="AH65" s="91"/>
      <c r="AI65" s="91"/>
      <c r="AJ65" s="91"/>
      <c r="AK65" s="152">
        <f>SUM(Y65:AJ65)</f>
        <v>14813172</v>
      </c>
      <c r="AL65" s="71">
        <f t="shared" si="32"/>
        <v>1200000</v>
      </c>
      <c r="AM65" s="71">
        <f>+Z65</f>
        <v>1975000</v>
      </c>
      <c r="AN65" s="71">
        <v>1392800</v>
      </c>
      <c r="AO65" s="71">
        <v>653780</v>
      </c>
      <c r="AP65" s="71">
        <v>9591592</v>
      </c>
      <c r="AQ65" s="71"/>
      <c r="AR65" s="71"/>
      <c r="AS65" s="71"/>
      <c r="AT65" s="72"/>
      <c r="AU65" s="71"/>
      <c r="AV65" s="71"/>
      <c r="AW65" s="71"/>
      <c r="AX65" s="153">
        <f t="shared" si="30"/>
        <v>14813172</v>
      </c>
      <c r="AY65" s="235">
        <f t="shared" si="31"/>
        <v>16046928</v>
      </c>
      <c r="AZ65" s="232"/>
      <c r="BA65" s="232"/>
      <c r="BB65" s="251"/>
    </row>
    <row r="66" spans="1:54" s="7" customFormat="1" ht="30" customHeight="1">
      <c r="A66" s="60" t="s">
        <v>15</v>
      </c>
      <c r="B66" s="40" t="s">
        <v>48</v>
      </c>
      <c r="C66" s="61" t="s">
        <v>56</v>
      </c>
      <c r="D66" s="61" t="s">
        <v>50</v>
      </c>
      <c r="E66" s="62" t="s">
        <v>58</v>
      </c>
      <c r="F66" s="62" t="s">
        <v>100</v>
      </c>
      <c r="G66" s="62"/>
      <c r="H66" s="61" t="s">
        <v>51</v>
      </c>
      <c r="I66" s="61" t="s">
        <v>52</v>
      </c>
      <c r="J66" s="65" t="s">
        <v>119</v>
      </c>
      <c r="K66" s="64">
        <f>350000000</f>
        <v>350000000</v>
      </c>
      <c r="L66" s="92">
        <v>25132272</v>
      </c>
      <c r="M66" s="92">
        <v>25908124</v>
      </c>
      <c r="N66" s="92">
        <v>26291594</v>
      </c>
      <c r="O66" s="92">
        <v>26253581</v>
      </c>
      <c r="P66" s="191">
        <v>35937479</v>
      </c>
      <c r="Q66" s="191"/>
      <c r="R66" s="191"/>
      <c r="S66" s="191"/>
      <c r="T66" s="191"/>
      <c r="U66" s="191"/>
      <c r="V66" s="191"/>
      <c r="W66" s="191"/>
      <c r="X66" s="149">
        <f t="shared" si="28"/>
        <v>139523050</v>
      </c>
      <c r="Y66" s="68">
        <f>+L66</f>
        <v>25132272</v>
      </c>
      <c r="Z66" s="68">
        <f>+M66</f>
        <v>25908124</v>
      </c>
      <c r="AA66" s="68">
        <f>+N66</f>
        <v>26291594</v>
      </c>
      <c r="AB66" s="93">
        <f>+O66</f>
        <v>26253581</v>
      </c>
      <c r="AC66" s="68">
        <f>+P66</f>
        <v>35937479</v>
      </c>
      <c r="AD66" s="68"/>
      <c r="AE66" s="68"/>
      <c r="AF66" s="68"/>
      <c r="AG66" s="68"/>
      <c r="AH66" s="68"/>
      <c r="AI66" s="68"/>
      <c r="AJ66" s="68"/>
      <c r="AK66" s="152">
        <f t="shared" si="29"/>
        <v>139523050</v>
      </c>
      <c r="AL66" s="71">
        <f t="shared" si="32"/>
        <v>25132272</v>
      </c>
      <c r="AM66" s="71">
        <f>+Z66</f>
        <v>25908124</v>
      </c>
      <c r="AN66" s="71">
        <f>+AA66</f>
        <v>26291594</v>
      </c>
      <c r="AO66" s="71">
        <f>+AB66</f>
        <v>26253581</v>
      </c>
      <c r="AP66" s="71">
        <v>35937479</v>
      </c>
      <c r="AQ66" s="71"/>
      <c r="AR66" s="71"/>
      <c r="AS66" s="71"/>
      <c r="AT66" s="72"/>
      <c r="AU66" s="71"/>
      <c r="AV66" s="71"/>
      <c r="AW66" s="71"/>
      <c r="AX66" s="153">
        <f t="shared" si="30"/>
        <v>139523050</v>
      </c>
      <c r="AY66" s="235">
        <f t="shared" si="31"/>
        <v>210476950</v>
      </c>
      <c r="AZ66" s="232"/>
      <c r="BA66" s="232"/>
      <c r="BB66" s="251"/>
    </row>
    <row r="67" spans="1:54" s="7" customFormat="1" ht="30" customHeight="1">
      <c r="A67" s="60" t="s">
        <v>15</v>
      </c>
      <c r="B67" s="40" t="s">
        <v>48</v>
      </c>
      <c r="C67" s="61" t="s">
        <v>56</v>
      </c>
      <c r="D67" s="61" t="s">
        <v>50</v>
      </c>
      <c r="E67" s="62" t="s">
        <v>58</v>
      </c>
      <c r="F67" s="62" t="s">
        <v>86</v>
      </c>
      <c r="G67" s="62"/>
      <c r="H67" s="61" t="s">
        <v>51</v>
      </c>
      <c r="I67" s="61" t="s">
        <v>52</v>
      </c>
      <c r="J67" s="65" t="s">
        <v>120</v>
      </c>
      <c r="K67" s="74">
        <f>220000000+63000000</f>
        <v>283000000</v>
      </c>
      <c r="L67" s="184">
        <v>153370459</v>
      </c>
      <c r="M67" s="184">
        <v>35036777</v>
      </c>
      <c r="N67" s="184"/>
      <c r="O67" s="184">
        <v>550699</v>
      </c>
      <c r="P67" s="192">
        <v>60448800</v>
      </c>
      <c r="Q67" s="192"/>
      <c r="R67" s="192"/>
      <c r="S67" s="192"/>
      <c r="T67" s="192"/>
      <c r="U67" s="192"/>
      <c r="V67" s="192"/>
      <c r="W67" s="192"/>
      <c r="X67" s="149">
        <f t="shared" si="28"/>
        <v>249406735</v>
      </c>
      <c r="Y67" s="186"/>
      <c r="Z67" s="186">
        <v>40468457</v>
      </c>
      <c r="AA67" s="68">
        <v>147198179</v>
      </c>
      <c r="AB67" s="186">
        <v>1291299</v>
      </c>
      <c r="AC67" s="186">
        <v>1076800</v>
      </c>
      <c r="AD67" s="68"/>
      <c r="AE67" s="186"/>
      <c r="AF67" s="186"/>
      <c r="AG67" s="186"/>
      <c r="AH67" s="68"/>
      <c r="AI67" s="68"/>
      <c r="AJ67" s="186"/>
      <c r="AK67" s="152">
        <f t="shared" si="29"/>
        <v>190034735</v>
      </c>
      <c r="AL67" s="154">
        <f t="shared" si="32"/>
        <v>0</v>
      </c>
      <c r="AM67" s="187">
        <f>+Z67</f>
        <v>40468457</v>
      </c>
      <c r="AN67" s="187">
        <v>147198179</v>
      </c>
      <c r="AO67" s="187">
        <f>+AB67</f>
        <v>1291299</v>
      </c>
      <c r="AP67" s="187">
        <v>1076800</v>
      </c>
      <c r="AQ67" s="71"/>
      <c r="AR67" s="187"/>
      <c r="AS67" s="187"/>
      <c r="AT67" s="72"/>
      <c r="AU67" s="71"/>
      <c r="AV67" s="71"/>
      <c r="AW67" s="187"/>
      <c r="AX67" s="153">
        <f t="shared" si="30"/>
        <v>190034735</v>
      </c>
      <c r="AY67" s="235">
        <f t="shared" si="31"/>
        <v>33593265</v>
      </c>
      <c r="AZ67" s="232"/>
      <c r="BA67" s="232"/>
      <c r="BB67" s="251"/>
    </row>
    <row r="68" spans="1:54" s="7" customFormat="1" ht="36" customHeight="1">
      <c r="A68" s="155"/>
      <c r="B68" s="156"/>
      <c r="C68" s="156"/>
      <c r="D68" s="156"/>
      <c r="E68" s="157"/>
      <c r="F68" s="157"/>
      <c r="G68" s="157"/>
      <c r="H68" s="156"/>
      <c r="I68" s="156"/>
      <c r="J68" s="158" t="s">
        <v>121</v>
      </c>
      <c r="K68" s="194">
        <f aca="true" t="shared" si="33" ref="K68:AZ68">SUM(K50:K67)</f>
        <v>3644500000</v>
      </c>
      <c r="L68" s="194">
        <f t="shared" si="33"/>
        <v>2113967709.7</v>
      </c>
      <c r="M68" s="194">
        <f t="shared" si="33"/>
        <v>203556075.28</v>
      </c>
      <c r="N68" s="194">
        <f t="shared" si="33"/>
        <v>127360348.5</v>
      </c>
      <c r="O68" s="194">
        <f t="shared" si="33"/>
        <v>216065156.2</v>
      </c>
      <c r="P68" s="194">
        <f t="shared" si="33"/>
        <v>246521327.5</v>
      </c>
      <c r="Q68" s="194">
        <f t="shared" si="33"/>
        <v>0</v>
      </c>
      <c r="R68" s="194">
        <f t="shared" si="33"/>
        <v>0</v>
      </c>
      <c r="S68" s="194">
        <f t="shared" si="33"/>
        <v>0</v>
      </c>
      <c r="T68" s="194">
        <f t="shared" si="33"/>
        <v>0</v>
      </c>
      <c r="U68" s="194">
        <f t="shared" si="33"/>
        <v>0</v>
      </c>
      <c r="V68" s="194">
        <f t="shared" si="33"/>
        <v>0</v>
      </c>
      <c r="W68" s="194">
        <f t="shared" si="33"/>
        <v>0</v>
      </c>
      <c r="X68" s="194">
        <f t="shared" si="33"/>
        <v>2907470617.18</v>
      </c>
      <c r="Y68" s="159">
        <f t="shared" si="33"/>
        <v>76561580.5</v>
      </c>
      <c r="Z68" s="159">
        <f t="shared" si="33"/>
        <v>166994725.9</v>
      </c>
      <c r="AA68" s="159">
        <f t="shared" si="33"/>
        <v>343592536.13</v>
      </c>
      <c r="AB68" s="159">
        <f t="shared" si="33"/>
        <v>293124083.44</v>
      </c>
      <c r="AC68" s="159">
        <f t="shared" si="33"/>
        <v>392662919.62</v>
      </c>
      <c r="AD68" s="159">
        <f t="shared" si="33"/>
        <v>0</v>
      </c>
      <c r="AE68" s="159">
        <f t="shared" si="33"/>
        <v>0</v>
      </c>
      <c r="AF68" s="159">
        <f t="shared" si="33"/>
        <v>0</v>
      </c>
      <c r="AG68" s="159">
        <f t="shared" si="33"/>
        <v>0</v>
      </c>
      <c r="AH68" s="159">
        <f t="shared" si="33"/>
        <v>0</v>
      </c>
      <c r="AI68" s="159">
        <f t="shared" si="33"/>
        <v>0</v>
      </c>
      <c r="AJ68" s="159">
        <f t="shared" si="33"/>
        <v>0</v>
      </c>
      <c r="AK68" s="159">
        <f t="shared" si="33"/>
        <v>1272935845.5900002</v>
      </c>
      <c r="AL68" s="159">
        <f t="shared" si="33"/>
        <v>72873151.5</v>
      </c>
      <c r="AM68" s="159">
        <f t="shared" si="33"/>
        <v>156339281.9</v>
      </c>
      <c r="AN68" s="159">
        <f t="shared" si="33"/>
        <v>310597320.75</v>
      </c>
      <c r="AO68" s="159">
        <f t="shared" si="33"/>
        <v>377131560.82</v>
      </c>
      <c r="AP68" s="159">
        <f t="shared" si="33"/>
        <v>351281930.62</v>
      </c>
      <c r="AQ68" s="159">
        <f t="shared" si="33"/>
        <v>0</v>
      </c>
      <c r="AR68" s="159">
        <f t="shared" si="33"/>
        <v>0</v>
      </c>
      <c r="AS68" s="159">
        <f t="shared" si="33"/>
        <v>0</v>
      </c>
      <c r="AT68" s="159">
        <f t="shared" si="33"/>
        <v>0</v>
      </c>
      <c r="AU68" s="159">
        <f t="shared" si="33"/>
        <v>0</v>
      </c>
      <c r="AV68" s="159">
        <f>SUM(AV51:AV67)</f>
        <v>0</v>
      </c>
      <c r="AW68" s="159">
        <f t="shared" si="33"/>
        <v>0</v>
      </c>
      <c r="AX68" s="183">
        <f t="shared" si="33"/>
        <v>1268223245.5900002</v>
      </c>
      <c r="AY68" s="183">
        <f t="shared" si="33"/>
        <v>737029382.8199999</v>
      </c>
      <c r="AZ68" s="247">
        <f t="shared" si="33"/>
        <v>0</v>
      </c>
      <c r="BA68" s="247"/>
      <c r="BB68" s="254"/>
    </row>
    <row r="69" spans="1:54" s="7" customFormat="1" ht="29.25" customHeight="1">
      <c r="A69" s="172"/>
      <c r="B69" s="173"/>
      <c r="C69" s="173"/>
      <c r="D69" s="173"/>
      <c r="E69" s="174"/>
      <c r="F69" s="174"/>
      <c r="G69" s="174"/>
      <c r="H69" s="173"/>
      <c r="I69" s="173"/>
      <c r="J69" s="227" t="s">
        <v>122</v>
      </c>
      <c r="K69" s="175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7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7"/>
      <c r="AL69" s="176"/>
      <c r="AM69" s="178"/>
      <c r="AN69" s="176"/>
      <c r="AO69" s="176"/>
      <c r="AP69" s="176"/>
      <c r="AQ69" s="176"/>
      <c r="AR69" s="178"/>
      <c r="AS69" s="178"/>
      <c r="AT69" s="199"/>
      <c r="AU69" s="178"/>
      <c r="AV69" s="178"/>
      <c r="AW69" s="178"/>
      <c r="AX69" s="176"/>
      <c r="AY69" s="177"/>
      <c r="AZ69" s="177"/>
      <c r="BA69" s="177"/>
      <c r="BB69" s="251"/>
    </row>
    <row r="70" spans="1:54" s="7" customFormat="1" ht="39" customHeight="1">
      <c r="A70" s="60" t="s">
        <v>15</v>
      </c>
      <c r="B70" s="62" t="s">
        <v>48</v>
      </c>
      <c r="C70" s="61" t="s">
        <v>88</v>
      </c>
      <c r="D70" s="62" t="s">
        <v>56</v>
      </c>
      <c r="E70" s="62" t="s">
        <v>49</v>
      </c>
      <c r="F70" s="62" t="s">
        <v>49</v>
      </c>
      <c r="G70" s="62"/>
      <c r="H70" s="62" t="s">
        <v>109</v>
      </c>
      <c r="I70" s="62" t="s">
        <v>123</v>
      </c>
      <c r="J70" s="94" t="s">
        <v>124</v>
      </c>
      <c r="K70" s="74">
        <v>2957700000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70">
        <f aca="true" t="shared" si="34" ref="X70:X78">SUM(L70:W70)</f>
        <v>0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70">
        <f aca="true" t="shared" si="35" ref="AK70:AK78">SUM(Y70:AJ70)</f>
        <v>0</v>
      </c>
      <c r="AL70" s="87"/>
      <c r="AM70" s="72"/>
      <c r="AN70" s="72"/>
      <c r="AO70" s="72"/>
      <c r="AP70" s="72"/>
      <c r="AQ70" s="72"/>
      <c r="AR70" s="72"/>
      <c r="AS70" s="72"/>
      <c r="AT70" s="195"/>
      <c r="AU70" s="72"/>
      <c r="AV70" s="72"/>
      <c r="AW70" s="72"/>
      <c r="AX70" s="73">
        <f aca="true" t="shared" si="36" ref="AX70:AX78">SUM(AL70:AW70)</f>
        <v>0</v>
      </c>
      <c r="AY70" s="235">
        <f aca="true" t="shared" si="37" ref="AY70:AY78">+K70-X70</f>
        <v>2957700000</v>
      </c>
      <c r="AZ70" s="232"/>
      <c r="BA70" s="232"/>
      <c r="BB70" s="251"/>
    </row>
    <row r="71" spans="1:54" s="7" customFormat="1" ht="75" customHeight="1">
      <c r="A71" s="95" t="s">
        <v>15</v>
      </c>
      <c r="B71" s="40" t="s">
        <v>48</v>
      </c>
      <c r="C71" s="61" t="s">
        <v>88</v>
      </c>
      <c r="D71" s="61" t="s">
        <v>56</v>
      </c>
      <c r="E71" s="62" t="s">
        <v>98</v>
      </c>
      <c r="F71" s="62" t="s">
        <v>96</v>
      </c>
      <c r="G71" s="62"/>
      <c r="H71" s="61" t="s">
        <v>51</v>
      </c>
      <c r="I71" s="61" t="s">
        <v>52</v>
      </c>
      <c r="J71" s="65" t="s">
        <v>125</v>
      </c>
      <c r="K71" s="64">
        <v>19804873116</v>
      </c>
      <c r="L71" s="66"/>
      <c r="M71" s="66">
        <v>1213051442</v>
      </c>
      <c r="N71" s="66"/>
      <c r="O71" s="67">
        <v>1331857234</v>
      </c>
      <c r="P71" s="67">
        <v>3523099884.88</v>
      </c>
      <c r="Q71" s="67"/>
      <c r="R71" s="67"/>
      <c r="S71" s="66"/>
      <c r="T71" s="67"/>
      <c r="U71" s="67"/>
      <c r="V71" s="67"/>
      <c r="W71" s="67"/>
      <c r="X71" s="70">
        <f t="shared" si="34"/>
        <v>6068008560.88</v>
      </c>
      <c r="Y71" s="86"/>
      <c r="Z71" s="86">
        <f>+M71</f>
        <v>1213051442</v>
      </c>
      <c r="AA71" s="86"/>
      <c r="AB71" s="86">
        <f>+O71</f>
        <v>1331857234</v>
      </c>
      <c r="AC71" s="86">
        <f>+P71</f>
        <v>3523099884.88</v>
      </c>
      <c r="AD71" s="86"/>
      <c r="AE71" s="86"/>
      <c r="AF71" s="86"/>
      <c r="AG71" s="86"/>
      <c r="AH71" s="86"/>
      <c r="AI71" s="86"/>
      <c r="AJ71" s="86"/>
      <c r="AK71" s="70">
        <f t="shared" si="35"/>
        <v>6068008560.88</v>
      </c>
      <c r="AL71" s="87"/>
      <c r="AM71" s="72">
        <f>+Z71</f>
        <v>1213051442</v>
      </c>
      <c r="AN71" s="87"/>
      <c r="AO71" s="87">
        <f>+AB71</f>
        <v>1331857234</v>
      </c>
      <c r="AP71" s="87">
        <f>+AC71</f>
        <v>3523099884.88</v>
      </c>
      <c r="AQ71" s="87"/>
      <c r="AR71" s="87"/>
      <c r="AS71" s="87"/>
      <c r="AT71" s="203"/>
      <c r="AU71" s="72"/>
      <c r="AV71" s="72"/>
      <c r="AW71" s="72"/>
      <c r="AX71" s="73">
        <f t="shared" si="36"/>
        <v>6068008560.88</v>
      </c>
      <c r="AY71" s="235">
        <f t="shared" si="37"/>
        <v>13736864555.119999</v>
      </c>
      <c r="AZ71" s="232"/>
      <c r="BA71" s="232"/>
      <c r="BB71" s="251"/>
    </row>
    <row r="72" spans="1:54" s="7" customFormat="1" ht="55.5" customHeight="1">
      <c r="A72" s="95" t="s">
        <v>15</v>
      </c>
      <c r="B72" s="40" t="s">
        <v>48</v>
      </c>
      <c r="C72" s="61" t="s">
        <v>88</v>
      </c>
      <c r="D72" s="61" t="s">
        <v>58</v>
      </c>
      <c r="E72" s="62" t="s">
        <v>49</v>
      </c>
      <c r="F72" s="62" t="s">
        <v>126</v>
      </c>
      <c r="G72" s="62"/>
      <c r="H72" s="61" t="s">
        <v>51</v>
      </c>
      <c r="I72" s="61" t="s">
        <v>52</v>
      </c>
      <c r="J72" s="65" t="s">
        <v>127</v>
      </c>
      <c r="K72" s="64">
        <v>164800000</v>
      </c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70">
        <f t="shared" si="34"/>
        <v>0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70">
        <f t="shared" si="35"/>
        <v>0</v>
      </c>
      <c r="AL72" s="87"/>
      <c r="AM72" s="72"/>
      <c r="AN72" s="87"/>
      <c r="AO72" s="87"/>
      <c r="AP72" s="87"/>
      <c r="AQ72" s="87"/>
      <c r="AR72" s="87"/>
      <c r="AS72" s="87"/>
      <c r="AT72" s="195"/>
      <c r="AU72" s="72"/>
      <c r="AV72" s="72"/>
      <c r="AW72" s="72"/>
      <c r="AX72" s="73">
        <f t="shared" si="36"/>
        <v>0</v>
      </c>
      <c r="AY72" s="235">
        <f t="shared" si="37"/>
        <v>164800000</v>
      </c>
      <c r="AZ72" s="232"/>
      <c r="BA72" s="232"/>
      <c r="BB72" s="251"/>
    </row>
    <row r="73" spans="1:54" s="7" customFormat="1" ht="49.5" customHeight="1">
      <c r="A73" s="60" t="s">
        <v>15</v>
      </c>
      <c r="B73" s="61" t="s">
        <v>48</v>
      </c>
      <c r="C73" s="61" t="s">
        <v>88</v>
      </c>
      <c r="D73" s="61" t="s">
        <v>64</v>
      </c>
      <c r="E73" s="62" t="s">
        <v>49</v>
      </c>
      <c r="F73" s="62" t="s">
        <v>88</v>
      </c>
      <c r="G73" s="62"/>
      <c r="H73" s="61" t="s">
        <v>51</v>
      </c>
      <c r="I73" s="61" t="s">
        <v>52</v>
      </c>
      <c r="J73" s="65" t="s">
        <v>128</v>
      </c>
      <c r="K73" s="74">
        <v>206000000</v>
      </c>
      <c r="L73" s="66">
        <v>10666000</v>
      </c>
      <c r="M73" s="66">
        <v>10666000</v>
      </c>
      <c r="N73" s="66">
        <v>10666000</v>
      </c>
      <c r="O73" s="66">
        <v>10666000</v>
      </c>
      <c r="P73" s="66">
        <v>10979000</v>
      </c>
      <c r="Q73" s="66"/>
      <c r="R73" s="66"/>
      <c r="S73" s="66"/>
      <c r="T73" s="66"/>
      <c r="U73" s="66"/>
      <c r="V73" s="66"/>
      <c r="W73" s="66"/>
      <c r="X73" s="70">
        <f t="shared" si="34"/>
        <v>53643000</v>
      </c>
      <c r="Y73" s="86">
        <f aca="true" t="shared" si="38" ref="Y73:AA74">+L73</f>
        <v>10666000</v>
      </c>
      <c r="Z73" s="86">
        <f t="shared" si="38"/>
        <v>10666000</v>
      </c>
      <c r="AA73" s="86">
        <f t="shared" si="38"/>
        <v>10666000</v>
      </c>
      <c r="AB73" s="86">
        <f>+O73</f>
        <v>10666000</v>
      </c>
      <c r="AC73" s="86">
        <f>+P73</f>
        <v>10979000</v>
      </c>
      <c r="AD73" s="86"/>
      <c r="AE73" s="86"/>
      <c r="AF73" s="86"/>
      <c r="AG73" s="86"/>
      <c r="AH73" s="86"/>
      <c r="AI73" s="86"/>
      <c r="AJ73" s="86"/>
      <c r="AK73" s="70">
        <f t="shared" si="35"/>
        <v>53643000</v>
      </c>
      <c r="AL73" s="87">
        <f aca="true" t="shared" si="39" ref="AL73:AN74">+Y73</f>
        <v>10666000</v>
      </c>
      <c r="AM73" s="87">
        <f t="shared" si="39"/>
        <v>10666000</v>
      </c>
      <c r="AN73" s="87">
        <f t="shared" si="39"/>
        <v>10666000</v>
      </c>
      <c r="AO73" s="87">
        <f>+AB73</f>
        <v>10666000</v>
      </c>
      <c r="AP73" s="87">
        <f>+AC73</f>
        <v>10979000</v>
      </c>
      <c r="AQ73" s="87"/>
      <c r="AR73" s="87"/>
      <c r="AS73" s="87"/>
      <c r="AT73" s="200"/>
      <c r="AU73" s="87"/>
      <c r="AV73" s="72"/>
      <c r="AW73" s="72"/>
      <c r="AX73" s="73">
        <f t="shared" si="36"/>
        <v>53643000</v>
      </c>
      <c r="AY73" s="235">
        <f t="shared" si="37"/>
        <v>152357000</v>
      </c>
      <c r="AZ73" s="232"/>
      <c r="BA73" s="232"/>
      <c r="BB73" s="251"/>
    </row>
    <row r="74" spans="1:54" s="7" customFormat="1" ht="36.75" customHeight="1">
      <c r="A74" s="60" t="s">
        <v>15</v>
      </c>
      <c r="B74" s="61" t="s">
        <v>48</v>
      </c>
      <c r="C74" s="61" t="s">
        <v>88</v>
      </c>
      <c r="D74" s="61" t="s">
        <v>64</v>
      </c>
      <c r="E74" s="62" t="s">
        <v>49</v>
      </c>
      <c r="F74" s="62" t="s">
        <v>129</v>
      </c>
      <c r="G74" s="62"/>
      <c r="H74" s="61" t="s">
        <v>51</v>
      </c>
      <c r="I74" s="61" t="s">
        <v>52</v>
      </c>
      <c r="J74" s="65" t="s">
        <v>130</v>
      </c>
      <c r="K74" s="74">
        <v>824000000</v>
      </c>
      <c r="L74" s="66">
        <v>55656914</v>
      </c>
      <c r="M74" s="66">
        <v>55656914</v>
      </c>
      <c r="N74" s="66">
        <v>55656914</v>
      </c>
      <c r="O74" s="66">
        <v>54422023.4</v>
      </c>
      <c r="P74" s="66">
        <v>52429491.7</v>
      </c>
      <c r="Q74" s="66"/>
      <c r="R74" s="66"/>
      <c r="S74" s="66"/>
      <c r="T74" s="66"/>
      <c r="U74" s="66"/>
      <c r="V74" s="66"/>
      <c r="W74" s="66"/>
      <c r="X74" s="70">
        <f t="shared" si="34"/>
        <v>273822257.1</v>
      </c>
      <c r="Y74" s="86">
        <f t="shared" si="38"/>
        <v>55656914</v>
      </c>
      <c r="Z74" s="86">
        <f t="shared" si="38"/>
        <v>55656914</v>
      </c>
      <c r="AA74" s="86">
        <f t="shared" si="38"/>
        <v>55656914</v>
      </c>
      <c r="AB74" s="86">
        <v>54422023.4</v>
      </c>
      <c r="AC74" s="86">
        <f>+P74</f>
        <v>52429491.7</v>
      </c>
      <c r="AD74" s="86"/>
      <c r="AE74" s="86"/>
      <c r="AF74" s="86"/>
      <c r="AG74" s="86"/>
      <c r="AH74" s="86"/>
      <c r="AI74" s="86"/>
      <c r="AJ74" s="86"/>
      <c r="AK74" s="70">
        <f t="shared" si="35"/>
        <v>273822257.1</v>
      </c>
      <c r="AL74" s="87">
        <f t="shared" si="39"/>
        <v>55656914</v>
      </c>
      <c r="AM74" s="87">
        <f t="shared" si="39"/>
        <v>55656914</v>
      </c>
      <c r="AN74" s="87">
        <f t="shared" si="39"/>
        <v>55656914</v>
      </c>
      <c r="AO74" s="87">
        <f>+AB74</f>
        <v>54422023.4</v>
      </c>
      <c r="AP74" s="87">
        <f>+AC74</f>
        <v>52429491.7</v>
      </c>
      <c r="AQ74" s="87"/>
      <c r="AR74" s="87"/>
      <c r="AS74" s="87"/>
      <c r="AT74" s="200"/>
      <c r="AU74" s="87"/>
      <c r="AV74" s="72"/>
      <c r="AW74" s="72"/>
      <c r="AX74" s="73">
        <f t="shared" si="36"/>
        <v>273822257.1</v>
      </c>
      <c r="AY74" s="235">
        <f t="shared" si="37"/>
        <v>550177742.9</v>
      </c>
      <c r="AZ74" s="232"/>
      <c r="BA74" s="232"/>
      <c r="BB74" s="251"/>
    </row>
    <row r="75" spans="1:54" s="7" customFormat="1" ht="58.5" customHeight="1">
      <c r="A75" s="60" t="s">
        <v>15</v>
      </c>
      <c r="B75" s="61" t="s">
        <v>48</v>
      </c>
      <c r="C75" s="61" t="s">
        <v>88</v>
      </c>
      <c r="D75" s="61" t="s">
        <v>64</v>
      </c>
      <c r="E75" s="62" t="s">
        <v>49</v>
      </c>
      <c r="F75" s="62" t="s">
        <v>131</v>
      </c>
      <c r="G75" s="62"/>
      <c r="H75" s="61" t="s">
        <v>51</v>
      </c>
      <c r="I75" s="61" t="s">
        <v>52</v>
      </c>
      <c r="J75" s="65" t="s">
        <v>132</v>
      </c>
      <c r="K75" s="70">
        <v>19300000</v>
      </c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70">
        <f t="shared" si="34"/>
        <v>0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70">
        <f t="shared" si="35"/>
        <v>0</v>
      </c>
      <c r="AL75" s="87"/>
      <c r="AM75" s="87"/>
      <c r="AN75" s="87"/>
      <c r="AO75" s="87"/>
      <c r="AP75" s="87"/>
      <c r="AQ75" s="87"/>
      <c r="AR75" s="87"/>
      <c r="AS75" s="87"/>
      <c r="AT75" s="200"/>
      <c r="AU75" s="87"/>
      <c r="AV75" s="72"/>
      <c r="AW75" s="72"/>
      <c r="AX75" s="73">
        <f t="shared" si="36"/>
        <v>0</v>
      </c>
      <c r="AY75" s="235">
        <f t="shared" si="37"/>
        <v>19300000</v>
      </c>
      <c r="AZ75" s="232"/>
      <c r="BA75" s="232"/>
      <c r="BB75" s="251"/>
    </row>
    <row r="76" spans="1:54" s="7" customFormat="1" ht="43.5" customHeight="1">
      <c r="A76" s="60" t="s">
        <v>15</v>
      </c>
      <c r="B76" s="61" t="s">
        <v>48</v>
      </c>
      <c r="C76" s="61" t="s">
        <v>88</v>
      </c>
      <c r="D76" s="61" t="s">
        <v>64</v>
      </c>
      <c r="E76" s="62" t="s">
        <v>49</v>
      </c>
      <c r="F76" s="62" t="s">
        <v>133</v>
      </c>
      <c r="G76" s="62"/>
      <c r="H76" s="61" t="s">
        <v>51</v>
      </c>
      <c r="I76" s="61" t="s">
        <v>52</v>
      </c>
      <c r="J76" s="65" t="s">
        <v>134</v>
      </c>
      <c r="K76" s="70">
        <v>35500000</v>
      </c>
      <c r="L76" s="66"/>
      <c r="M76" s="66"/>
      <c r="N76" s="66"/>
      <c r="O76" s="66">
        <v>35500000</v>
      </c>
      <c r="P76" s="66"/>
      <c r="Q76" s="66"/>
      <c r="R76" s="66"/>
      <c r="S76" s="66"/>
      <c r="T76" s="66"/>
      <c r="U76" s="66"/>
      <c r="V76" s="66"/>
      <c r="W76" s="66"/>
      <c r="X76" s="70">
        <f t="shared" si="34"/>
        <v>35500000</v>
      </c>
      <c r="Y76" s="86"/>
      <c r="Z76" s="96"/>
      <c r="AA76" s="86"/>
      <c r="AB76" s="86"/>
      <c r="AC76" s="86">
        <v>1185947</v>
      </c>
      <c r="AD76" s="86"/>
      <c r="AE76" s="86"/>
      <c r="AF76" s="86"/>
      <c r="AG76" s="86"/>
      <c r="AH76" s="86"/>
      <c r="AI76" s="86"/>
      <c r="AJ76" s="86"/>
      <c r="AK76" s="70">
        <f t="shared" si="35"/>
        <v>1185947</v>
      </c>
      <c r="AL76" s="87"/>
      <c r="AM76" s="72"/>
      <c r="AN76" s="87"/>
      <c r="AO76" s="87"/>
      <c r="AP76" s="87">
        <f>+AC76</f>
        <v>1185947</v>
      </c>
      <c r="AQ76" s="87"/>
      <c r="AR76" s="87"/>
      <c r="AS76" s="87"/>
      <c r="AT76" s="200"/>
      <c r="AU76" s="87"/>
      <c r="AV76" s="72"/>
      <c r="AW76" s="72"/>
      <c r="AX76" s="73">
        <f t="shared" si="36"/>
        <v>1185947</v>
      </c>
      <c r="AY76" s="235">
        <f t="shared" si="37"/>
        <v>0</v>
      </c>
      <c r="AZ76" s="232"/>
      <c r="BA76" s="232"/>
      <c r="BB76" s="251"/>
    </row>
    <row r="77" spans="1:54" s="7" customFormat="1" ht="43.5" customHeight="1">
      <c r="A77" s="60" t="s">
        <v>15</v>
      </c>
      <c r="B77" s="61" t="s">
        <v>48</v>
      </c>
      <c r="C77" s="61" t="s">
        <v>88</v>
      </c>
      <c r="D77" s="61" t="s">
        <v>96</v>
      </c>
      <c r="E77" s="62" t="s">
        <v>49</v>
      </c>
      <c r="F77" s="62" t="s">
        <v>49</v>
      </c>
      <c r="G77" s="62"/>
      <c r="H77" s="61" t="s">
        <v>109</v>
      </c>
      <c r="I77" s="61" t="s">
        <v>52</v>
      </c>
      <c r="J77" s="65" t="s">
        <v>135</v>
      </c>
      <c r="K77" s="70">
        <v>400000000</v>
      </c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70">
        <f t="shared" si="34"/>
        <v>0</v>
      </c>
      <c r="Y77" s="86"/>
      <c r="Z77" s="9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70">
        <f t="shared" si="35"/>
        <v>0</v>
      </c>
      <c r="AL77" s="87"/>
      <c r="AM77" s="72"/>
      <c r="AN77" s="87"/>
      <c r="AO77" s="87"/>
      <c r="AP77" s="87"/>
      <c r="AQ77" s="87"/>
      <c r="AR77" s="87"/>
      <c r="AS77" s="87"/>
      <c r="AT77" s="202"/>
      <c r="AU77" s="87"/>
      <c r="AV77" s="72"/>
      <c r="AW77" s="72"/>
      <c r="AX77" s="73">
        <f t="shared" si="36"/>
        <v>0</v>
      </c>
      <c r="AY77" s="235">
        <f t="shared" si="37"/>
        <v>400000000</v>
      </c>
      <c r="AZ77" s="232"/>
      <c r="BA77" s="232"/>
      <c r="BB77" s="251"/>
    </row>
    <row r="78" spans="1:54" s="7" customFormat="1" ht="43.5" customHeight="1">
      <c r="A78" s="60" t="s">
        <v>15</v>
      </c>
      <c r="B78" s="61" t="s">
        <v>48</v>
      </c>
      <c r="C78" s="61" t="s">
        <v>88</v>
      </c>
      <c r="D78" s="61" t="s">
        <v>96</v>
      </c>
      <c r="E78" s="229" t="s">
        <v>88</v>
      </c>
      <c r="F78" s="229" t="s">
        <v>188</v>
      </c>
      <c r="G78" s="62"/>
      <c r="H78" s="230" t="s">
        <v>51</v>
      </c>
      <c r="I78" s="61" t="s">
        <v>52</v>
      </c>
      <c r="J78" s="65" t="s">
        <v>189</v>
      </c>
      <c r="K78" s="70">
        <v>1195126884</v>
      </c>
      <c r="L78" s="66"/>
      <c r="M78" s="66">
        <v>1195126884</v>
      </c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70">
        <f t="shared" si="34"/>
        <v>1195126884</v>
      </c>
      <c r="Y78" s="86"/>
      <c r="Z78" s="96">
        <f>+M78</f>
        <v>1195126884</v>
      </c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70">
        <f t="shared" si="35"/>
        <v>1195126884</v>
      </c>
      <c r="AL78" s="87"/>
      <c r="AM78" s="72">
        <f>+Z78</f>
        <v>1195126884</v>
      </c>
      <c r="AN78" s="87"/>
      <c r="AO78" s="87"/>
      <c r="AP78" s="87"/>
      <c r="AQ78" s="87"/>
      <c r="AR78" s="87"/>
      <c r="AS78" s="87"/>
      <c r="AT78" s="202"/>
      <c r="AU78" s="87"/>
      <c r="AV78" s="87"/>
      <c r="AW78" s="87"/>
      <c r="AX78" s="73">
        <f t="shared" si="36"/>
        <v>1195126884</v>
      </c>
      <c r="AY78" s="235">
        <f t="shared" si="37"/>
        <v>0</v>
      </c>
      <c r="AZ78" s="232"/>
      <c r="BA78" s="232"/>
      <c r="BB78" s="251"/>
    </row>
    <row r="79" spans="1:54" s="7" customFormat="1" ht="30" customHeight="1">
      <c r="A79" s="60"/>
      <c r="B79" s="40"/>
      <c r="C79" s="61"/>
      <c r="D79" s="61"/>
      <c r="E79" s="62"/>
      <c r="F79" s="62"/>
      <c r="G79" s="62"/>
      <c r="H79" s="61"/>
      <c r="I79" s="61"/>
      <c r="J79" s="97" t="s">
        <v>136</v>
      </c>
      <c r="K79" s="85">
        <f aca="true" t="shared" si="40" ref="K79:BA79">SUM(K70:K78)</f>
        <v>25607300000</v>
      </c>
      <c r="L79" s="85">
        <f t="shared" si="40"/>
        <v>66322914</v>
      </c>
      <c r="M79" s="85">
        <f t="shared" si="40"/>
        <v>2474501240</v>
      </c>
      <c r="N79" s="85">
        <f t="shared" si="40"/>
        <v>66322914</v>
      </c>
      <c r="O79" s="85">
        <f t="shared" si="40"/>
        <v>1432445257.4</v>
      </c>
      <c r="P79" s="85">
        <f t="shared" si="40"/>
        <v>3586508376.58</v>
      </c>
      <c r="Q79" s="85">
        <f t="shared" si="40"/>
        <v>0</v>
      </c>
      <c r="R79" s="85">
        <f t="shared" si="40"/>
        <v>0</v>
      </c>
      <c r="S79" s="85">
        <f t="shared" si="40"/>
        <v>0</v>
      </c>
      <c r="T79" s="85">
        <f t="shared" si="40"/>
        <v>0</v>
      </c>
      <c r="U79" s="85">
        <f t="shared" si="40"/>
        <v>0</v>
      </c>
      <c r="V79" s="85">
        <f t="shared" si="40"/>
        <v>0</v>
      </c>
      <c r="W79" s="85">
        <f t="shared" si="40"/>
        <v>0</v>
      </c>
      <c r="X79" s="85">
        <f t="shared" si="40"/>
        <v>7626100701.9800005</v>
      </c>
      <c r="Y79" s="85">
        <f t="shared" si="40"/>
        <v>66322914</v>
      </c>
      <c r="Z79" s="85">
        <f t="shared" si="40"/>
        <v>2474501240</v>
      </c>
      <c r="AA79" s="85">
        <f t="shared" si="40"/>
        <v>66322914</v>
      </c>
      <c r="AB79" s="85">
        <f t="shared" si="40"/>
        <v>1396945257.4</v>
      </c>
      <c r="AC79" s="85">
        <f t="shared" si="40"/>
        <v>3587694323.58</v>
      </c>
      <c r="AD79" s="85">
        <f t="shared" si="40"/>
        <v>0</v>
      </c>
      <c r="AE79" s="85">
        <f t="shared" si="40"/>
        <v>0</v>
      </c>
      <c r="AF79" s="85">
        <f t="shared" si="40"/>
        <v>0</v>
      </c>
      <c r="AG79" s="85">
        <f t="shared" si="40"/>
        <v>0</v>
      </c>
      <c r="AH79" s="85">
        <f t="shared" si="40"/>
        <v>0</v>
      </c>
      <c r="AI79" s="85">
        <f t="shared" si="40"/>
        <v>0</v>
      </c>
      <c r="AJ79" s="85">
        <f t="shared" si="40"/>
        <v>0</v>
      </c>
      <c r="AK79" s="85">
        <f t="shared" si="40"/>
        <v>7591786648.9800005</v>
      </c>
      <c r="AL79" s="85">
        <f t="shared" si="40"/>
        <v>66322914</v>
      </c>
      <c r="AM79" s="85">
        <f t="shared" si="40"/>
        <v>2474501240</v>
      </c>
      <c r="AN79" s="85">
        <f t="shared" si="40"/>
        <v>66322914</v>
      </c>
      <c r="AO79" s="85">
        <f t="shared" si="40"/>
        <v>1396945257.4</v>
      </c>
      <c r="AP79" s="85">
        <f t="shared" si="40"/>
        <v>3587694323.58</v>
      </c>
      <c r="AQ79" s="85">
        <f t="shared" si="40"/>
        <v>0</v>
      </c>
      <c r="AR79" s="85">
        <f t="shared" si="40"/>
        <v>0</v>
      </c>
      <c r="AS79" s="85">
        <f t="shared" si="40"/>
        <v>0</v>
      </c>
      <c r="AT79" s="85">
        <f t="shared" si="40"/>
        <v>0</v>
      </c>
      <c r="AU79" s="85">
        <f t="shared" si="40"/>
        <v>0</v>
      </c>
      <c r="AV79" s="85">
        <f t="shared" si="40"/>
        <v>0</v>
      </c>
      <c r="AW79" s="85">
        <f t="shared" si="40"/>
        <v>0</v>
      </c>
      <c r="AX79" s="85">
        <f t="shared" si="40"/>
        <v>7591786648.9800005</v>
      </c>
      <c r="AY79" s="85">
        <f t="shared" si="40"/>
        <v>17981199298.02</v>
      </c>
      <c r="AZ79" s="248">
        <f t="shared" si="40"/>
        <v>0</v>
      </c>
      <c r="BA79" s="248">
        <f t="shared" si="40"/>
        <v>0</v>
      </c>
      <c r="BB79" s="251"/>
    </row>
    <row r="80" spans="1:54" s="7" customFormat="1" ht="30" customHeight="1">
      <c r="A80" s="569"/>
      <c r="B80" s="570"/>
      <c r="C80" s="570"/>
      <c r="D80" s="570"/>
      <c r="E80" s="570"/>
      <c r="F80" s="570"/>
      <c r="G80" s="570"/>
      <c r="H80" s="570"/>
      <c r="I80" s="570"/>
      <c r="J80" s="132" t="s">
        <v>137</v>
      </c>
      <c r="K80" s="133">
        <f aca="true" t="shared" si="41" ref="K80:BA80">K48+K68+K79</f>
        <v>50647000000</v>
      </c>
      <c r="L80" s="133">
        <f t="shared" si="41"/>
        <v>3683840008.3100004</v>
      </c>
      <c r="M80" s="133">
        <f t="shared" si="41"/>
        <v>4380950599.39</v>
      </c>
      <c r="N80" s="133">
        <f t="shared" si="41"/>
        <v>1789735771.65</v>
      </c>
      <c r="O80" s="133">
        <f t="shared" si="41"/>
        <v>2955273031.17</v>
      </c>
      <c r="P80" s="133">
        <f t="shared" si="41"/>
        <v>5327716499.67</v>
      </c>
      <c r="Q80" s="133">
        <f t="shared" si="41"/>
        <v>0</v>
      </c>
      <c r="R80" s="133">
        <f t="shared" si="41"/>
        <v>0</v>
      </c>
      <c r="S80" s="133">
        <f t="shared" si="41"/>
        <v>0</v>
      </c>
      <c r="T80" s="133">
        <f t="shared" si="41"/>
        <v>0</v>
      </c>
      <c r="U80" s="133">
        <f t="shared" si="41"/>
        <v>0</v>
      </c>
      <c r="V80" s="133">
        <f t="shared" si="41"/>
        <v>0</v>
      </c>
      <c r="W80" s="133">
        <f t="shared" si="41"/>
        <v>0</v>
      </c>
      <c r="X80" s="133">
        <f t="shared" si="41"/>
        <v>18137515910.19</v>
      </c>
      <c r="Y80" s="133">
        <f t="shared" si="41"/>
        <v>1262571091.1100001</v>
      </c>
      <c r="Z80" s="133">
        <f t="shared" si="41"/>
        <v>3897185637.01</v>
      </c>
      <c r="AA80" s="133">
        <f t="shared" si="41"/>
        <v>1836373499.2800002</v>
      </c>
      <c r="AB80" s="133">
        <f t="shared" si="41"/>
        <v>3106544596.4100003</v>
      </c>
      <c r="AC80" s="133">
        <f t="shared" si="41"/>
        <v>5444235239.79</v>
      </c>
      <c r="AD80" s="133">
        <f t="shared" si="41"/>
        <v>0</v>
      </c>
      <c r="AE80" s="133">
        <f t="shared" si="41"/>
        <v>0</v>
      </c>
      <c r="AF80" s="133">
        <f t="shared" si="41"/>
        <v>0</v>
      </c>
      <c r="AG80" s="133">
        <f t="shared" si="41"/>
        <v>0</v>
      </c>
      <c r="AH80" s="133">
        <f t="shared" si="41"/>
        <v>0</v>
      </c>
      <c r="AI80" s="133">
        <f t="shared" si="41"/>
        <v>0</v>
      </c>
      <c r="AJ80" s="133">
        <f t="shared" si="41"/>
        <v>0</v>
      </c>
      <c r="AK80" s="133">
        <f t="shared" si="41"/>
        <v>15614798391.400002</v>
      </c>
      <c r="AL80" s="133">
        <f t="shared" si="41"/>
        <v>1258882662.1100001</v>
      </c>
      <c r="AM80" s="133">
        <f t="shared" si="41"/>
        <v>3886530193.01</v>
      </c>
      <c r="AN80" s="133">
        <f t="shared" si="41"/>
        <v>1726552110.9</v>
      </c>
      <c r="AO80" s="133">
        <f t="shared" si="41"/>
        <v>3267378246.79</v>
      </c>
      <c r="AP80" s="133">
        <f t="shared" si="41"/>
        <v>5402854250.79</v>
      </c>
      <c r="AQ80" s="133">
        <f t="shared" si="41"/>
        <v>0</v>
      </c>
      <c r="AR80" s="133">
        <f t="shared" si="41"/>
        <v>0</v>
      </c>
      <c r="AS80" s="133">
        <f t="shared" si="41"/>
        <v>0</v>
      </c>
      <c r="AT80" s="133">
        <f t="shared" si="41"/>
        <v>0</v>
      </c>
      <c r="AU80" s="133">
        <f t="shared" si="41"/>
        <v>0</v>
      </c>
      <c r="AV80" s="133">
        <f t="shared" si="41"/>
        <v>0</v>
      </c>
      <c r="AW80" s="133">
        <f t="shared" si="41"/>
        <v>0</v>
      </c>
      <c r="AX80" s="207">
        <f t="shared" si="41"/>
        <v>15542197463.6</v>
      </c>
      <c r="AY80" s="133">
        <f t="shared" si="41"/>
        <v>32509484089.810005</v>
      </c>
      <c r="AZ80" s="133">
        <f t="shared" si="41"/>
        <v>0</v>
      </c>
      <c r="BA80" s="133">
        <f t="shared" si="41"/>
        <v>0</v>
      </c>
      <c r="BB80" s="251"/>
    </row>
    <row r="81" spans="1:54" s="7" customFormat="1" ht="33" customHeight="1">
      <c r="A81" s="127"/>
      <c r="B81" s="134"/>
      <c r="C81" s="128"/>
      <c r="D81" s="128"/>
      <c r="E81" s="129"/>
      <c r="F81" s="129"/>
      <c r="G81" s="129"/>
      <c r="H81" s="128"/>
      <c r="I81" s="128"/>
      <c r="J81" s="130" t="s">
        <v>138</v>
      </c>
      <c r="K81" s="131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80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81"/>
      <c r="AL81" s="179"/>
      <c r="AM81" s="179"/>
      <c r="AN81" s="179"/>
      <c r="AO81" s="179"/>
      <c r="AP81" s="179"/>
      <c r="AQ81" s="179"/>
      <c r="AR81" s="179"/>
      <c r="AS81" s="179"/>
      <c r="AT81" s="201"/>
      <c r="AU81" s="179"/>
      <c r="AV81" s="179"/>
      <c r="AW81" s="179"/>
      <c r="AX81" s="182"/>
      <c r="AY81" s="181"/>
      <c r="AZ81" s="181"/>
      <c r="BA81" s="181"/>
      <c r="BB81" s="251"/>
    </row>
    <row r="82" spans="1:54" s="7" customFormat="1" ht="56.25" customHeight="1">
      <c r="A82" s="98" t="s">
        <v>40</v>
      </c>
      <c r="B82" s="99" t="s">
        <v>48</v>
      </c>
      <c r="C82" s="100" t="s">
        <v>140</v>
      </c>
      <c r="D82" s="100" t="s">
        <v>139</v>
      </c>
      <c r="E82" s="100" t="s">
        <v>56</v>
      </c>
      <c r="F82" s="100"/>
      <c r="G82" s="100"/>
      <c r="H82" s="100" t="s">
        <v>109</v>
      </c>
      <c r="I82" s="100" t="s">
        <v>52</v>
      </c>
      <c r="J82" s="213" t="s">
        <v>194</v>
      </c>
      <c r="K82" s="108">
        <v>1120000000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3">
        <f aca="true" t="shared" si="42" ref="X82:X116">SUM(L82:W82)</f>
        <v>0</v>
      </c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5">
        <f aca="true" t="shared" si="43" ref="AK82:AK116">SUM(Y82:AJ82)</f>
        <v>0</v>
      </c>
      <c r="AL82" s="106"/>
      <c r="AM82" s="106"/>
      <c r="AN82" s="106"/>
      <c r="AO82" s="106"/>
      <c r="AP82" s="106"/>
      <c r="AQ82" s="106"/>
      <c r="AR82" s="106"/>
      <c r="AS82" s="106"/>
      <c r="AT82" s="200"/>
      <c r="AU82" s="106"/>
      <c r="AV82" s="106"/>
      <c r="AW82" s="106"/>
      <c r="AX82" s="107">
        <f aca="true" t="shared" si="44" ref="AX82:AX114">SUM(AL82:AW82)</f>
        <v>0</v>
      </c>
      <c r="AY82" s="239">
        <f aca="true" t="shared" si="45" ref="AY82:AY116">+K82-X82</f>
        <v>1120000000</v>
      </c>
      <c r="AZ82" s="232"/>
      <c r="BA82" s="232"/>
      <c r="BB82" s="251"/>
    </row>
    <row r="83" spans="1:54" s="7" customFormat="1" ht="58.5" customHeight="1">
      <c r="A83" s="98" t="s">
        <v>40</v>
      </c>
      <c r="B83" s="109" t="s">
        <v>48</v>
      </c>
      <c r="C83" s="212" t="s">
        <v>178</v>
      </c>
      <c r="D83" s="211" t="s">
        <v>139</v>
      </c>
      <c r="E83" s="212" t="s">
        <v>49</v>
      </c>
      <c r="F83" s="110"/>
      <c r="G83" s="110"/>
      <c r="H83" s="100" t="s">
        <v>109</v>
      </c>
      <c r="I83" s="100" t="s">
        <v>52</v>
      </c>
      <c r="J83" s="213" t="s">
        <v>159</v>
      </c>
      <c r="K83" s="111">
        <v>2500000000</v>
      </c>
      <c r="L83" s="102"/>
      <c r="M83" s="102"/>
      <c r="N83" s="102">
        <v>204969200</v>
      </c>
      <c r="O83" s="102">
        <v>272000000</v>
      </c>
      <c r="P83" s="102">
        <v>1343499000</v>
      </c>
      <c r="Q83" s="102"/>
      <c r="R83" s="102"/>
      <c r="S83" s="102"/>
      <c r="T83" s="102"/>
      <c r="U83" s="102"/>
      <c r="V83" s="102"/>
      <c r="W83" s="102"/>
      <c r="X83" s="103">
        <f t="shared" si="42"/>
        <v>1820468200</v>
      </c>
      <c r="Y83" s="104"/>
      <c r="Z83" s="104"/>
      <c r="AA83" s="104"/>
      <c r="AB83" s="104"/>
      <c r="AC83" s="104">
        <v>28759346</v>
      </c>
      <c r="AD83" s="104"/>
      <c r="AE83" s="104"/>
      <c r="AF83" s="104"/>
      <c r="AG83" s="104"/>
      <c r="AH83" s="104"/>
      <c r="AI83" s="104"/>
      <c r="AJ83" s="104"/>
      <c r="AK83" s="105">
        <f t="shared" si="43"/>
        <v>28759346</v>
      </c>
      <c r="AL83" s="106"/>
      <c r="AM83" s="106"/>
      <c r="AN83" s="106"/>
      <c r="AO83" s="106"/>
      <c r="AP83" s="106">
        <f>+AC83</f>
        <v>28759346</v>
      </c>
      <c r="AQ83" s="106"/>
      <c r="AR83" s="106"/>
      <c r="AS83" s="106"/>
      <c r="AT83" s="200"/>
      <c r="AU83" s="106"/>
      <c r="AV83" s="106"/>
      <c r="AW83" s="106"/>
      <c r="AX83" s="107">
        <f t="shared" si="44"/>
        <v>28759346</v>
      </c>
      <c r="AY83" s="239">
        <f t="shared" si="45"/>
        <v>679531800</v>
      </c>
      <c r="AZ83" s="232"/>
      <c r="BA83" s="232"/>
      <c r="BB83" s="251"/>
    </row>
    <row r="84" spans="1:146" s="7" customFormat="1" ht="63.75" customHeight="1">
      <c r="A84" s="98" t="s">
        <v>40</v>
      </c>
      <c r="B84" s="109" t="s">
        <v>48</v>
      </c>
      <c r="C84" s="212" t="s">
        <v>178</v>
      </c>
      <c r="D84" s="101" t="s">
        <v>139</v>
      </c>
      <c r="E84" s="212" t="s">
        <v>56</v>
      </c>
      <c r="F84" s="110"/>
      <c r="G84" s="110"/>
      <c r="H84" s="100" t="s">
        <v>109</v>
      </c>
      <c r="I84" s="100" t="s">
        <v>52</v>
      </c>
      <c r="J84" s="213" t="s">
        <v>158</v>
      </c>
      <c r="K84" s="111">
        <v>864450000</v>
      </c>
      <c r="L84" s="112"/>
      <c r="M84" s="112"/>
      <c r="N84" s="112">
        <v>751783880</v>
      </c>
      <c r="O84" s="112">
        <v>112666120</v>
      </c>
      <c r="P84" s="112"/>
      <c r="Q84" s="112"/>
      <c r="R84" s="112"/>
      <c r="S84" s="112"/>
      <c r="T84" s="112"/>
      <c r="U84" s="112"/>
      <c r="V84" s="112"/>
      <c r="W84" s="112"/>
      <c r="X84" s="103">
        <f t="shared" si="42"/>
        <v>864450000</v>
      </c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5">
        <f t="shared" si="43"/>
        <v>0</v>
      </c>
      <c r="AL84" s="106"/>
      <c r="AM84" s="106"/>
      <c r="AN84" s="106"/>
      <c r="AO84" s="106"/>
      <c r="AP84" s="106"/>
      <c r="AQ84" s="106"/>
      <c r="AR84" s="106"/>
      <c r="AS84" s="106"/>
      <c r="AT84" s="200"/>
      <c r="AU84" s="106"/>
      <c r="AV84" s="106"/>
      <c r="AW84" s="106"/>
      <c r="AX84" s="107">
        <f t="shared" si="44"/>
        <v>0</v>
      </c>
      <c r="AY84" s="239">
        <f t="shared" si="45"/>
        <v>0</v>
      </c>
      <c r="AZ84" s="232"/>
      <c r="BA84" s="232"/>
      <c r="BB84" s="255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</row>
    <row r="85" spans="1:146" s="7" customFormat="1" ht="45.75">
      <c r="A85" s="98" t="s">
        <v>40</v>
      </c>
      <c r="B85" s="109" t="s">
        <v>48</v>
      </c>
      <c r="C85" s="100" t="s">
        <v>141</v>
      </c>
      <c r="D85" s="101" t="s">
        <v>142</v>
      </c>
      <c r="E85" s="100" t="s">
        <v>49</v>
      </c>
      <c r="F85" s="113"/>
      <c r="G85" s="110"/>
      <c r="H85" s="100" t="s">
        <v>109</v>
      </c>
      <c r="I85" s="100" t="s">
        <v>52</v>
      </c>
      <c r="J85" s="214" t="s">
        <v>160</v>
      </c>
      <c r="K85" s="111">
        <v>20000000000</v>
      </c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03">
        <f t="shared" si="42"/>
        <v>0</v>
      </c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5">
        <f t="shared" si="43"/>
        <v>0</v>
      </c>
      <c r="AL85" s="106"/>
      <c r="AM85" s="106"/>
      <c r="AN85" s="106"/>
      <c r="AO85" s="106"/>
      <c r="AP85" s="106"/>
      <c r="AQ85" s="106"/>
      <c r="AR85" s="106"/>
      <c r="AS85" s="106"/>
      <c r="AT85" s="200"/>
      <c r="AU85" s="106"/>
      <c r="AV85" s="106"/>
      <c r="AW85" s="106"/>
      <c r="AX85" s="107">
        <f t="shared" si="44"/>
        <v>0</v>
      </c>
      <c r="AY85" s="239">
        <f t="shared" si="45"/>
        <v>20000000000</v>
      </c>
      <c r="AZ85" s="232"/>
      <c r="BA85" s="232"/>
      <c r="BB85" s="255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</row>
    <row r="86" spans="1:146" s="7" customFormat="1" ht="72.75" customHeight="1">
      <c r="A86" s="98" t="s">
        <v>40</v>
      </c>
      <c r="B86" s="109" t="s">
        <v>48</v>
      </c>
      <c r="C86" s="100" t="s">
        <v>141</v>
      </c>
      <c r="D86" s="211" t="s">
        <v>143</v>
      </c>
      <c r="E86" s="212" t="s">
        <v>88</v>
      </c>
      <c r="F86" s="113"/>
      <c r="G86" s="110"/>
      <c r="H86" s="100" t="s">
        <v>109</v>
      </c>
      <c r="I86" s="100" t="s">
        <v>52</v>
      </c>
      <c r="J86" s="214" t="s">
        <v>195</v>
      </c>
      <c r="K86" s="111">
        <v>3500000000</v>
      </c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03">
        <f>SUM(L86:W86)</f>
        <v>0</v>
      </c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5">
        <f>SUM(Y86:AJ86)</f>
        <v>0</v>
      </c>
      <c r="AL86" s="106"/>
      <c r="AM86" s="106"/>
      <c r="AN86" s="106"/>
      <c r="AO86" s="106"/>
      <c r="AP86" s="106"/>
      <c r="AQ86" s="106"/>
      <c r="AR86" s="106"/>
      <c r="AS86" s="106"/>
      <c r="AT86" s="200"/>
      <c r="AU86" s="106"/>
      <c r="AV86" s="106"/>
      <c r="AW86" s="106"/>
      <c r="AX86" s="107">
        <f>SUM(AL86:AW86)</f>
        <v>0</v>
      </c>
      <c r="AY86" s="239">
        <f>+K86-X86</f>
        <v>3500000000</v>
      </c>
      <c r="AZ86" s="232"/>
      <c r="BA86" s="232"/>
      <c r="BB86" s="255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</row>
    <row r="87" spans="1:146" s="7" customFormat="1" ht="70.5" customHeight="1">
      <c r="A87" s="98" t="s">
        <v>40</v>
      </c>
      <c r="B87" s="109" t="s">
        <v>48</v>
      </c>
      <c r="C87" s="100" t="s">
        <v>141</v>
      </c>
      <c r="D87" s="211" t="s">
        <v>175</v>
      </c>
      <c r="E87" s="212" t="s">
        <v>49</v>
      </c>
      <c r="F87" s="113"/>
      <c r="G87" s="110"/>
      <c r="H87" s="100" t="s">
        <v>109</v>
      </c>
      <c r="I87" s="100" t="s">
        <v>52</v>
      </c>
      <c r="J87" s="213" t="s">
        <v>176</v>
      </c>
      <c r="K87" s="111">
        <v>200000000</v>
      </c>
      <c r="L87" s="112"/>
      <c r="M87" s="112"/>
      <c r="N87" s="112"/>
      <c r="O87" s="112">
        <v>4164400</v>
      </c>
      <c r="P87" s="112">
        <v>58550100</v>
      </c>
      <c r="Q87" s="112"/>
      <c r="R87" s="112"/>
      <c r="S87" s="112"/>
      <c r="T87" s="112"/>
      <c r="U87" s="112"/>
      <c r="V87" s="112"/>
      <c r="W87" s="112"/>
      <c r="X87" s="103">
        <f t="shared" si="42"/>
        <v>62714500</v>
      </c>
      <c r="Y87" s="104"/>
      <c r="Z87" s="104"/>
      <c r="AA87" s="104"/>
      <c r="AB87" s="104"/>
      <c r="AC87" s="104">
        <v>2412800</v>
      </c>
      <c r="AD87" s="104"/>
      <c r="AE87" s="104"/>
      <c r="AF87" s="104"/>
      <c r="AG87" s="104"/>
      <c r="AH87" s="104"/>
      <c r="AI87" s="104"/>
      <c r="AJ87" s="104"/>
      <c r="AK87" s="105">
        <f t="shared" si="43"/>
        <v>2412800</v>
      </c>
      <c r="AL87" s="106"/>
      <c r="AM87" s="106"/>
      <c r="AN87" s="106"/>
      <c r="AO87" s="106"/>
      <c r="AP87" s="106">
        <f>+AC87</f>
        <v>2412800</v>
      </c>
      <c r="AQ87" s="106"/>
      <c r="AR87" s="106"/>
      <c r="AS87" s="106"/>
      <c r="AT87" s="200"/>
      <c r="AU87" s="106"/>
      <c r="AV87" s="106"/>
      <c r="AW87" s="106"/>
      <c r="AX87" s="107">
        <f t="shared" si="44"/>
        <v>2412800</v>
      </c>
      <c r="AY87" s="239">
        <f t="shared" si="45"/>
        <v>137285500</v>
      </c>
      <c r="AZ87" s="232"/>
      <c r="BA87" s="232"/>
      <c r="BB87" s="255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</row>
    <row r="88" spans="1:146" s="7" customFormat="1" ht="70.5" customHeight="1">
      <c r="A88" s="98" t="s">
        <v>40</v>
      </c>
      <c r="B88" s="109" t="s">
        <v>48</v>
      </c>
      <c r="C88" s="100" t="s">
        <v>141</v>
      </c>
      <c r="D88" s="211" t="s">
        <v>196</v>
      </c>
      <c r="E88" s="212" t="s">
        <v>49</v>
      </c>
      <c r="F88" s="113"/>
      <c r="G88" s="110"/>
      <c r="H88" s="100" t="s">
        <v>109</v>
      </c>
      <c r="I88" s="100" t="s">
        <v>52</v>
      </c>
      <c r="J88" s="213" t="s">
        <v>197</v>
      </c>
      <c r="K88" s="111">
        <v>3000000000</v>
      </c>
      <c r="L88" s="112"/>
      <c r="M88" s="112">
        <v>40000000</v>
      </c>
      <c r="N88" s="112">
        <v>500000000</v>
      </c>
      <c r="O88" s="112">
        <v>129437885</v>
      </c>
      <c r="P88" s="112">
        <f>292239146-140000</f>
        <v>292099146</v>
      </c>
      <c r="Q88" s="112"/>
      <c r="R88" s="112"/>
      <c r="S88" s="112"/>
      <c r="T88" s="112"/>
      <c r="U88" s="112"/>
      <c r="V88" s="112"/>
      <c r="W88" s="112"/>
      <c r="X88" s="103">
        <f>SUM(L88:W88)</f>
        <v>961537031</v>
      </c>
      <c r="Y88" s="104"/>
      <c r="Z88" s="104"/>
      <c r="AA88" s="104"/>
      <c r="AB88" s="104">
        <v>40000000</v>
      </c>
      <c r="AC88" s="104">
        <v>11062057</v>
      </c>
      <c r="AD88" s="104"/>
      <c r="AE88" s="104"/>
      <c r="AF88" s="104"/>
      <c r="AG88" s="104"/>
      <c r="AH88" s="104"/>
      <c r="AI88" s="104"/>
      <c r="AJ88" s="104"/>
      <c r="AK88" s="105">
        <f>SUM(Y88:AJ88)</f>
        <v>51062057</v>
      </c>
      <c r="AL88" s="106"/>
      <c r="AM88" s="106"/>
      <c r="AN88" s="106"/>
      <c r="AO88" s="106"/>
      <c r="AP88" s="106">
        <v>51062057</v>
      </c>
      <c r="AQ88" s="106"/>
      <c r="AR88" s="106"/>
      <c r="AS88" s="106"/>
      <c r="AT88" s="200"/>
      <c r="AU88" s="106"/>
      <c r="AV88" s="106"/>
      <c r="AW88" s="106"/>
      <c r="AX88" s="107">
        <f>SUM(AL88:AW88)</f>
        <v>51062057</v>
      </c>
      <c r="AY88" s="239">
        <f>+K88-X88</f>
        <v>2038462969</v>
      </c>
      <c r="AZ88" s="232"/>
      <c r="BA88" s="232"/>
      <c r="BB88" s="255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</row>
    <row r="89" spans="1:146" s="7" customFormat="1" ht="45.75">
      <c r="A89" s="98" t="s">
        <v>40</v>
      </c>
      <c r="B89" s="109" t="s">
        <v>48</v>
      </c>
      <c r="C89" s="100" t="s">
        <v>141</v>
      </c>
      <c r="D89" s="211" t="s">
        <v>177</v>
      </c>
      <c r="E89" s="212" t="s">
        <v>49</v>
      </c>
      <c r="F89" s="113"/>
      <c r="G89" s="110"/>
      <c r="H89" s="100" t="s">
        <v>109</v>
      </c>
      <c r="I89" s="100" t="s">
        <v>52</v>
      </c>
      <c r="J89" s="213" t="s">
        <v>162</v>
      </c>
      <c r="K89" s="111">
        <v>500000000</v>
      </c>
      <c r="L89" s="112"/>
      <c r="M89" s="112"/>
      <c r="N89" s="112"/>
      <c r="O89" s="112">
        <v>7000000</v>
      </c>
      <c r="P89" s="112"/>
      <c r="Q89" s="112"/>
      <c r="R89" s="112"/>
      <c r="S89" s="112"/>
      <c r="T89" s="112"/>
      <c r="U89" s="112"/>
      <c r="V89" s="112"/>
      <c r="W89" s="112"/>
      <c r="X89" s="103">
        <f t="shared" si="42"/>
        <v>7000000</v>
      </c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5">
        <f t="shared" si="43"/>
        <v>0</v>
      </c>
      <c r="AL89" s="106"/>
      <c r="AM89" s="106"/>
      <c r="AN89" s="106"/>
      <c r="AO89" s="106"/>
      <c r="AP89" s="106"/>
      <c r="AQ89" s="106"/>
      <c r="AR89" s="106"/>
      <c r="AS89" s="106"/>
      <c r="AT89" s="200"/>
      <c r="AU89" s="106"/>
      <c r="AV89" s="106"/>
      <c r="AW89" s="106"/>
      <c r="AX89" s="107">
        <f t="shared" si="44"/>
        <v>0</v>
      </c>
      <c r="AY89" s="239">
        <f t="shared" si="45"/>
        <v>493000000</v>
      </c>
      <c r="AZ89" s="232"/>
      <c r="BA89" s="232"/>
      <c r="BB89" s="255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</row>
    <row r="90" spans="1:146" s="7" customFormat="1" ht="91.5">
      <c r="A90" s="98" t="s">
        <v>40</v>
      </c>
      <c r="B90" s="109" t="s">
        <v>48</v>
      </c>
      <c r="C90" s="100" t="s">
        <v>141</v>
      </c>
      <c r="D90" s="211" t="s">
        <v>177</v>
      </c>
      <c r="E90" s="212" t="s">
        <v>56</v>
      </c>
      <c r="F90" s="113"/>
      <c r="G90" s="110"/>
      <c r="H90" s="100" t="s">
        <v>109</v>
      </c>
      <c r="I90" s="100" t="s">
        <v>52</v>
      </c>
      <c r="J90" s="213" t="s">
        <v>163</v>
      </c>
      <c r="K90" s="111">
        <v>500000000</v>
      </c>
      <c r="L90" s="112"/>
      <c r="M90" s="112"/>
      <c r="N90" s="112"/>
      <c r="O90" s="112">
        <v>490000000</v>
      </c>
      <c r="P90" s="112"/>
      <c r="Q90" s="112"/>
      <c r="R90" s="112"/>
      <c r="S90" s="112"/>
      <c r="T90" s="112"/>
      <c r="U90" s="112"/>
      <c r="V90" s="112"/>
      <c r="W90" s="112"/>
      <c r="X90" s="103">
        <f t="shared" si="42"/>
        <v>490000000</v>
      </c>
      <c r="Y90" s="104"/>
      <c r="Z90" s="104"/>
      <c r="AA90" s="104"/>
      <c r="AB90" s="104"/>
      <c r="AC90" s="104">
        <v>200000000</v>
      </c>
      <c r="AD90" s="104"/>
      <c r="AE90" s="104"/>
      <c r="AF90" s="104"/>
      <c r="AG90" s="104"/>
      <c r="AH90" s="104"/>
      <c r="AI90" s="104"/>
      <c r="AJ90" s="104"/>
      <c r="AK90" s="105">
        <f t="shared" si="43"/>
        <v>200000000</v>
      </c>
      <c r="AL90" s="106"/>
      <c r="AM90" s="106"/>
      <c r="AN90" s="106"/>
      <c r="AO90" s="106"/>
      <c r="AP90" s="106">
        <f>+AC90</f>
        <v>200000000</v>
      </c>
      <c r="AQ90" s="106"/>
      <c r="AR90" s="106"/>
      <c r="AS90" s="106"/>
      <c r="AT90" s="200"/>
      <c r="AU90" s="106"/>
      <c r="AV90" s="106"/>
      <c r="AW90" s="106"/>
      <c r="AX90" s="107">
        <f t="shared" si="44"/>
        <v>200000000</v>
      </c>
      <c r="AY90" s="239">
        <f t="shared" si="45"/>
        <v>10000000</v>
      </c>
      <c r="AZ90" s="232"/>
      <c r="BA90" s="232"/>
      <c r="BB90" s="255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</row>
    <row r="91" spans="1:146" s="7" customFormat="1" ht="43.5" customHeight="1">
      <c r="A91" s="98" t="s">
        <v>40</v>
      </c>
      <c r="B91" s="109" t="s">
        <v>48</v>
      </c>
      <c r="C91" s="212" t="s">
        <v>198</v>
      </c>
      <c r="D91" s="211" t="s">
        <v>196</v>
      </c>
      <c r="E91" s="212" t="s">
        <v>49</v>
      </c>
      <c r="F91" s="113"/>
      <c r="G91" s="110"/>
      <c r="H91" s="100" t="s">
        <v>109</v>
      </c>
      <c r="I91" s="100" t="s">
        <v>52</v>
      </c>
      <c r="J91" s="213" t="s">
        <v>199</v>
      </c>
      <c r="K91" s="111">
        <v>1000000000</v>
      </c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03">
        <f>SUM(L91:W91)</f>
        <v>0</v>
      </c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5">
        <f>SUM(Y91:AJ91)</f>
        <v>0</v>
      </c>
      <c r="AL91" s="106"/>
      <c r="AM91" s="106"/>
      <c r="AN91" s="106"/>
      <c r="AO91" s="106"/>
      <c r="AP91" s="106"/>
      <c r="AQ91" s="106"/>
      <c r="AR91" s="106"/>
      <c r="AS91" s="106"/>
      <c r="AT91" s="200"/>
      <c r="AU91" s="106"/>
      <c r="AV91" s="106"/>
      <c r="AW91" s="106"/>
      <c r="AX91" s="107">
        <f>SUM(AL91:AW91)</f>
        <v>0</v>
      </c>
      <c r="AY91" s="239">
        <f>+K91-X91</f>
        <v>1000000000</v>
      </c>
      <c r="AZ91" s="232"/>
      <c r="BA91" s="232"/>
      <c r="BB91" s="255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</row>
    <row r="92" spans="1:146" s="7" customFormat="1" ht="77.25" customHeight="1">
      <c r="A92" s="98" t="s">
        <v>40</v>
      </c>
      <c r="B92" s="109" t="s">
        <v>48</v>
      </c>
      <c r="C92" s="212" t="s">
        <v>179</v>
      </c>
      <c r="D92" s="211" t="s">
        <v>177</v>
      </c>
      <c r="E92" s="212" t="s">
        <v>88</v>
      </c>
      <c r="F92" s="113"/>
      <c r="G92" s="110"/>
      <c r="H92" s="100" t="s">
        <v>109</v>
      </c>
      <c r="I92" s="100" t="s">
        <v>52</v>
      </c>
      <c r="J92" s="213" t="s">
        <v>180</v>
      </c>
      <c r="K92" s="111">
        <v>3000000000</v>
      </c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03">
        <f t="shared" si="42"/>
        <v>0</v>
      </c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5">
        <f t="shared" si="43"/>
        <v>0</v>
      </c>
      <c r="AL92" s="106"/>
      <c r="AM92" s="106"/>
      <c r="AN92" s="106"/>
      <c r="AO92" s="106"/>
      <c r="AP92" s="106"/>
      <c r="AQ92" s="106"/>
      <c r="AR92" s="106"/>
      <c r="AS92" s="106"/>
      <c r="AT92" s="200"/>
      <c r="AU92" s="106"/>
      <c r="AV92" s="106"/>
      <c r="AW92" s="106"/>
      <c r="AX92" s="107">
        <f t="shared" si="44"/>
        <v>0</v>
      </c>
      <c r="AY92" s="239">
        <f>+K92-X92</f>
        <v>3000000000</v>
      </c>
      <c r="AZ92" s="232"/>
      <c r="BA92" s="232"/>
      <c r="BB92" s="255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</row>
    <row r="93" spans="1:146" s="7" customFormat="1" ht="57" customHeight="1">
      <c r="A93" s="98" t="s">
        <v>40</v>
      </c>
      <c r="B93" s="109" t="s">
        <v>48</v>
      </c>
      <c r="C93" s="100" t="s">
        <v>144</v>
      </c>
      <c r="D93" s="101" t="s">
        <v>139</v>
      </c>
      <c r="E93" s="212" t="s">
        <v>74</v>
      </c>
      <c r="F93" s="113"/>
      <c r="G93" s="110"/>
      <c r="H93" s="100" t="s">
        <v>109</v>
      </c>
      <c r="I93" s="100" t="s">
        <v>52</v>
      </c>
      <c r="J93" s="213" t="s">
        <v>164</v>
      </c>
      <c r="K93" s="135">
        <v>1898000000</v>
      </c>
      <c r="L93" s="112"/>
      <c r="M93" s="112">
        <v>27194000</v>
      </c>
      <c r="N93" s="112">
        <v>155148166</v>
      </c>
      <c r="O93" s="112">
        <v>58793668.5</v>
      </c>
      <c r="P93" s="112">
        <f>463453231-300030</f>
        <v>463153201</v>
      </c>
      <c r="Q93" s="112"/>
      <c r="R93" s="112"/>
      <c r="S93" s="112"/>
      <c r="T93" s="112"/>
      <c r="U93" s="112"/>
      <c r="V93" s="112"/>
      <c r="W93" s="112"/>
      <c r="X93" s="103">
        <f t="shared" si="42"/>
        <v>704289035.5</v>
      </c>
      <c r="Y93" s="104"/>
      <c r="Z93" s="104"/>
      <c r="AA93" s="104">
        <v>8294000</v>
      </c>
      <c r="AB93" s="104">
        <v>20472563.5</v>
      </c>
      <c r="AC93" s="104">
        <v>67960522</v>
      </c>
      <c r="AD93" s="104"/>
      <c r="AE93" s="104"/>
      <c r="AF93" s="104"/>
      <c r="AG93" s="104"/>
      <c r="AH93" s="104"/>
      <c r="AI93" s="104"/>
      <c r="AJ93" s="104"/>
      <c r="AK93" s="105">
        <f t="shared" si="43"/>
        <v>96727085.5</v>
      </c>
      <c r="AL93" s="106"/>
      <c r="AM93" s="106"/>
      <c r="AN93" s="106">
        <v>8294000</v>
      </c>
      <c r="AO93" s="106">
        <v>5766320.5</v>
      </c>
      <c r="AP93" s="106">
        <v>82666765</v>
      </c>
      <c r="AQ93" s="106"/>
      <c r="AR93" s="106"/>
      <c r="AS93" s="106"/>
      <c r="AT93" s="200"/>
      <c r="AU93" s="106"/>
      <c r="AV93" s="106"/>
      <c r="AW93" s="106"/>
      <c r="AX93" s="107">
        <f t="shared" si="44"/>
        <v>96727085.5</v>
      </c>
      <c r="AY93" s="239">
        <f t="shared" si="45"/>
        <v>1193710964.5</v>
      </c>
      <c r="AZ93" s="232"/>
      <c r="BA93" s="232"/>
      <c r="BB93" s="255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4"/>
      <c r="DE93" s="114"/>
      <c r="DF93" s="114"/>
      <c r="DG93" s="114"/>
      <c r="DH93" s="114"/>
      <c r="DI93" s="114"/>
      <c r="DJ93" s="114"/>
      <c r="DK93" s="114"/>
      <c r="DL93" s="114"/>
      <c r="DM93" s="114"/>
      <c r="DN93" s="114"/>
      <c r="DO93" s="114"/>
      <c r="DP93" s="114"/>
      <c r="DQ93" s="114"/>
      <c r="DR93" s="114"/>
      <c r="DS93" s="114"/>
      <c r="DT93" s="114"/>
      <c r="DU93" s="114"/>
      <c r="DV93" s="114"/>
      <c r="DW93" s="114"/>
      <c r="DX93" s="114"/>
      <c r="DY93" s="114"/>
      <c r="DZ93" s="114"/>
      <c r="EA93" s="114"/>
      <c r="EB93" s="114"/>
      <c r="EC93" s="114"/>
      <c r="ED93" s="114"/>
      <c r="EE93" s="114"/>
      <c r="EF93" s="114"/>
      <c r="EG93" s="114"/>
      <c r="EH93" s="114"/>
      <c r="EI93" s="114"/>
      <c r="EJ93" s="114"/>
      <c r="EK93" s="114"/>
      <c r="EL93" s="114"/>
      <c r="EM93" s="114"/>
      <c r="EN93" s="114"/>
      <c r="EO93" s="114"/>
      <c r="EP93" s="114"/>
    </row>
    <row r="94" spans="1:146" s="7" customFormat="1" ht="69">
      <c r="A94" s="98" t="s">
        <v>40</v>
      </c>
      <c r="B94" s="109" t="s">
        <v>48</v>
      </c>
      <c r="C94" s="100" t="s">
        <v>144</v>
      </c>
      <c r="D94" s="101" t="s">
        <v>139</v>
      </c>
      <c r="E94" s="100" t="s">
        <v>145</v>
      </c>
      <c r="F94" s="113"/>
      <c r="G94" s="110"/>
      <c r="H94" s="100" t="s">
        <v>109</v>
      </c>
      <c r="I94" s="100" t="s">
        <v>52</v>
      </c>
      <c r="J94" s="213" t="s">
        <v>165</v>
      </c>
      <c r="K94" s="111">
        <v>500000000</v>
      </c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03">
        <f t="shared" si="42"/>
        <v>0</v>
      </c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5">
        <f t="shared" si="43"/>
        <v>0</v>
      </c>
      <c r="AL94" s="106"/>
      <c r="AM94" s="106"/>
      <c r="AN94" s="106"/>
      <c r="AO94" s="106"/>
      <c r="AP94" s="106"/>
      <c r="AQ94" s="106"/>
      <c r="AR94" s="106"/>
      <c r="AS94" s="106"/>
      <c r="AT94" s="200"/>
      <c r="AU94" s="106"/>
      <c r="AV94" s="106"/>
      <c r="AW94" s="106"/>
      <c r="AX94" s="107">
        <f t="shared" si="44"/>
        <v>0</v>
      </c>
      <c r="AY94" s="239">
        <f t="shared" si="45"/>
        <v>500000000</v>
      </c>
      <c r="AZ94" s="232"/>
      <c r="BA94" s="232"/>
      <c r="BB94" s="255"/>
      <c r="BC94" s="114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</row>
    <row r="95" spans="1:146" s="7" customFormat="1" ht="123.75" customHeight="1">
      <c r="A95" s="98" t="s">
        <v>40</v>
      </c>
      <c r="B95" s="109" t="s">
        <v>48</v>
      </c>
      <c r="C95" s="100" t="s">
        <v>144</v>
      </c>
      <c r="D95" s="101" t="s">
        <v>139</v>
      </c>
      <c r="E95" s="212" t="s">
        <v>76</v>
      </c>
      <c r="F95" s="113"/>
      <c r="G95" s="110"/>
      <c r="H95" s="100" t="s">
        <v>109</v>
      </c>
      <c r="I95" s="100" t="s">
        <v>52</v>
      </c>
      <c r="J95" s="213" t="s">
        <v>169</v>
      </c>
      <c r="K95" s="111">
        <v>5696000000</v>
      </c>
      <c r="L95" s="112">
        <v>323000000</v>
      </c>
      <c r="M95" s="112">
        <v>3335629068</v>
      </c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03">
        <f t="shared" si="42"/>
        <v>3658629068</v>
      </c>
      <c r="Y95" s="104"/>
      <c r="Z95" s="104"/>
      <c r="AA95" s="104">
        <v>323000000</v>
      </c>
      <c r="AB95" s="104"/>
      <c r="AC95" s="104">
        <v>1334251627</v>
      </c>
      <c r="AD95" s="104"/>
      <c r="AE95" s="104"/>
      <c r="AF95" s="104"/>
      <c r="AG95" s="104"/>
      <c r="AH95" s="104"/>
      <c r="AI95" s="104"/>
      <c r="AJ95" s="104"/>
      <c r="AK95" s="105">
        <f t="shared" si="43"/>
        <v>1657251627</v>
      </c>
      <c r="AL95" s="106"/>
      <c r="AM95" s="106"/>
      <c r="AN95" s="106">
        <v>323000000</v>
      </c>
      <c r="AO95" s="106"/>
      <c r="AP95" s="106">
        <f>+AC95</f>
        <v>1334251627</v>
      </c>
      <c r="AQ95" s="106"/>
      <c r="AR95" s="106"/>
      <c r="AS95" s="106"/>
      <c r="AT95" s="200"/>
      <c r="AU95" s="106"/>
      <c r="AV95" s="106"/>
      <c r="AW95" s="106"/>
      <c r="AX95" s="107">
        <f t="shared" si="44"/>
        <v>1657251627</v>
      </c>
      <c r="AY95" s="239">
        <f t="shared" si="45"/>
        <v>2037370932</v>
      </c>
      <c r="AZ95" s="232"/>
      <c r="BA95" s="232"/>
      <c r="BB95" s="255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114"/>
      <c r="EI95" s="114"/>
      <c r="EJ95" s="114"/>
      <c r="EK95" s="114"/>
      <c r="EL95" s="114"/>
      <c r="EM95" s="114"/>
      <c r="EN95" s="114"/>
      <c r="EO95" s="114"/>
      <c r="EP95" s="114"/>
    </row>
    <row r="96" spans="1:146" s="7" customFormat="1" ht="96" customHeight="1">
      <c r="A96" s="98" t="s">
        <v>40</v>
      </c>
      <c r="B96" s="109" t="s">
        <v>48</v>
      </c>
      <c r="C96" s="100" t="s">
        <v>146</v>
      </c>
      <c r="D96" s="101" t="s">
        <v>139</v>
      </c>
      <c r="E96" s="212" t="s">
        <v>161</v>
      </c>
      <c r="F96" s="113"/>
      <c r="G96" s="110"/>
      <c r="H96" s="100" t="s">
        <v>109</v>
      </c>
      <c r="I96" s="100" t="s">
        <v>52</v>
      </c>
      <c r="J96" s="213" t="s">
        <v>156</v>
      </c>
      <c r="K96" s="111">
        <v>1800000000</v>
      </c>
      <c r="L96" s="112"/>
      <c r="M96" s="112"/>
      <c r="N96" s="112"/>
      <c r="O96" s="112"/>
      <c r="P96" s="112">
        <v>250000000</v>
      </c>
      <c r="Q96" s="112"/>
      <c r="R96" s="112"/>
      <c r="S96" s="112"/>
      <c r="T96" s="112"/>
      <c r="U96" s="112"/>
      <c r="V96" s="112"/>
      <c r="W96" s="112"/>
      <c r="X96" s="103">
        <f t="shared" si="42"/>
        <v>250000000</v>
      </c>
      <c r="Y96" s="104"/>
      <c r="Z96" s="104"/>
      <c r="AA96" s="104"/>
      <c r="AB96" s="104"/>
      <c r="AC96" s="104">
        <f>+P96</f>
        <v>250000000</v>
      </c>
      <c r="AD96" s="104"/>
      <c r="AE96" s="104"/>
      <c r="AF96" s="104"/>
      <c r="AG96" s="104"/>
      <c r="AH96" s="104"/>
      <c r="AI96" s="104"/>
      <c r="AJ96" s="104"/>
      <c r="AK96" s="105">
        <f t="shared" si="43"/>
        <v>250000000</v>
      </c>
      <c r="AL96" s="106"/>
      <c r="AM96" s="106"/>
      <c r="AN96" s="106"/>
      <c r="AO96" s="106"/>
      <c r="AP96" s="106">
        <f>+AC96</f>
        <v>250000000</v>
      </c>
      <c r="AQ96" s="106"/>
      <c r="AR96" s="106"/>
      <c r="AS96" s="106"/>
      <c r="AT96" s="200"/>
      <c r="AU96" s="106"/>
      <c r="AV96" s="106"/>
      <c r="AW96" s="106"/>
      <c r="AX96" s="107">
        <f t="shared" si="44"/>
        <v>250000000</v>
      </c>
      <c r="AY96" s="239">
        <f>+K96-X96</f>
        <v>1550000000</v>
      </c>
      <c r="AZ96" s="232"/>
      <c r="BA96" s="232"/>
      <c r="BB96" s="255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4"/>
      <c r="EI96" s="114"/>
      <c r="EJ96" s="114"/>
      <c r="EK96" s="114"/>
      <c r="EL96" s="114"/>
      <c r="EM96" s="114"/>
      <c r="EN96" s="114"/>
      <c r="EO96" s="114"/>
      <c r="EP96" s="114"/>
    </row>
    <row r="97" spans="1:146" s="7" customFormat="1" ht="131.25" customHeight="1">
      <c r="A97" s="98" t="s">
        <v>40</v>
      </c>
      <c r="B97" s="109" t="s">
        <v>48</v>
      </c>
      <c r="C97" s="100" t="s">
        <v>146</v>
      </c>
      <c r="D97" s="101" t="s">
        <v>139</v>
      </c>
      <c r="E97" s="212" t="s">
        <v>181</v>
      </c>
      <c r="F97" s="113"/>
      <c r="G97" s="110"/>
      <c r="H97" s="100" t="s">
        <v>109</v>
      </c>
      <c r="I97" s="100" t="s">
        <v>52</v>
      </c>
      <c r="J97" s="213" t="s">
        <v>182</v>
      </c>
      <c r="K97" s="111">
        <v>1000000000</v>
      </c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03">
        <f t="shared" si="42"/>
        <v>0</v>
      </c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5">
        <f t="shared" si="43"/>
        <v>0</v>
      </c>
      <c r="AL97" s="106"/>
      <c r="AM97" s="106"/>
      <c r="AN97" s="106"/>
      <c r="AO97" s="106"/>
      <c r="AP97" s="106"/>
      <c r="AQ97" s="106"/>
      <c r="AR97" s="106"/>
      <c r="AS97" s="106"/>
      <c r="AT97" s="200"/>
      <c r="AU97" s="106"/>
      <c r="AV97" s="106"/>
      <c r="AW97" s="106"/>
      <c r="AX97" s="107">
        <f t="shared" si="44"/>
        <v>0</v>
      </c>
      <c r="AY97" s="239">
        <f>+K97-X97</f>
        <v>1000000000</v>
      </c>
      <c r="AZ97" s="232"/>
      <c r="BA97" s="232"/>
      <c r="BB97" s="255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14"/>
      <c r="CF97" s="114"/>
      <c r="CG97" s="114"/>
      <c r="CH97" s="114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4"/>
      <c r="DU97" s="114"/>
      <c r="DV97" s="114"/>
      <c r="DW97" s="114"/>
      <c r="DX97" s="114"/>
      <c r="DY97" s="114"/>
      <c r="DZ97" s="114"/>
      <c r="EA97" s="114"/>
      <c r="EB97" s="114"/>
      <c r="EC97" s="114"/>
      <c r="ED97" s="114"/>
      <c r="EE97" s="114"/>
      <c r="EF97" s="114"/>
      <c r="EG97" s="114"/>
      <c r="EH97" s="114"/>
      <c r="EI97" s="114"/>
      <c r="EJ97" s="114"/>
      <c r="EK97" s="114"/>
      <c r="EL97" s="114"/>
      <c r="EM97" s="114"/>
      <c r="EN97" s="114"/>
      <c r="EO97" s="114"/>
      <c r="EP97" s="114"/>
    </row>
    <row r="98" spans="1:146" s="7" customFormat="1" ht="60.75" customHeight="1">
      <c r="A98" s="98" t="s">
        <v>40</v>
      </c>
      <c r="B98" s="109" t="s">
        <v>48</v>
      </c>
      <c r="C98" s="100" t="s">
        <v>144</v>
      </c>
      <c r="D98" s="101" t="s">
        <v>143</v>
      </c>
      <c r="E98" s="100" t="s">
        <v>49</v>
      </c>
      <c r="F98" s="113"/>
      <c r="G98" s="110"/>
      <c r="H98" s="100" t="s">
        <v>109</v>
      </c>
      <c r="I98" s="100" t="s">
        <v>52</v>
      </c>
      <c r="J98" s="213" t="s">
        <v>155</v>
      </c>
      <c r="K98" s="111">
        <v>1164000000</v>
      </c>
      <c r="L98" s="112">
        <v>1163302402</v>
      </c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03">
        <f t="shared" si="42"/>
        <v>1163302402</v>
      </c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5">
        <f t="shared" si="43"/>
        <v>0</v>
      </c>
      <c r="AL98" s="106"/>
      <c r="AM98" s="106"/>
      <c r="AN98" s="106"/>
      <c r="AO98" s="106"/>
      <c r="AP98" s="106"/>
      <c r="AQ98" s="106"/>
      <c r="AR98" s="106"/>
      <c r="AS98" s="106"/>
      <c r="AT98" s="200"/>
      <c r="AU98" s="106"/>
      <c r="AV98" s="106"/>
      <c r="AW98" s="106"/>
      <c r="AX98" s="107">
        <f t="shared" si="44"/>
        <v>0</v>
      </c>
      <c r="AY98" s="239">
        <f t="shared" si="45"/>
        <v>697598</v>
      </c>
      <c r="AZ98" s="232"/>
      <c r="BA98" s="232"/>
      <c r="BB98" s="255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  <c r="BM98" s="114"/>
      <c r="BN98" s="114"/>
      <c r="BO98" s="114"/>
      <c r="BP98" s="114"/>
      <c r="BQ98" s="114"/>
      <c r="BR98" s="114"/>
      <c r="BS98" s="114"/>
      <c r="BT98" s="114"/>
      <c r="BU98" s="114"/>
      <c r="BV98" s="114"/>
      <c r="BW98" s="114"/>
      <c r="BX98" s="114"/>
      <c r="BY98" s="114"/>
      <c r="BZ98" s="114"/>
      <c r="CA98" s="114"/>
      <c r="CB98" s="114"/>
      <c r="CC98" s="114"/>
      <c r="CD98" s="114"/>
      <c r="CE98" s="114"/>
      <c r="CF98" s="114"/>
      <c r="CG98" s="114"/>
      <c r="CH98" s="114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114"/>
      <c r="EA98" s="114"/>
      <c r="EB98" s="114"/>
      <c r="EC98" s="114"/>
      <c r="ED98" s="114"/>
      <c r="EE98" s="114"/>
      <c r="EF98" s="114"/>
      <c r="EG98" s="114"/>
      <c r="EH98" s="114"/>
      <c r="EI98" s="114"/>
      <c r="EJ98" s="114"/>
      <c r="EK98" s="114"/>
      <c r="EL98" s="114"/>
      <c r="EM98" s="114"/>
      <c r="EN98" s="114"/>
      <c r="EO98" s="114"/>
      <c r="EP98" s="114"/>
    </row>
    <row r="99" spans="1:146" s="7" customFormat="1" ht="96" customHeight="1">
      <c r="A99" s="98" t="s">
        <v>40</v>
      </c>
      <c r="B99" s="109" t="s">
        <v>48</v>
      </c>
      <c r="C99" s="100" t="s">
        <v>144</v>
      </c>
      <c r="D99" s="101" t="s">
        <v>143</v>
      </c>
      <c r="E99" s="212" t="s">
        <v>56</v>
      </c>
      <c r="F99" s="113"/>
      <c r="G99" s="110"/>
      <c r="H99" s="100" t="s">
        <v>109</v>
      </c>
      <c r="I99" s="100" t="s">
        <v>52</v>
      </c>
      <c r="J99" s="213" t="s">
        <v>183</v>
      </c>
      <c r="K99" s="111">
        <v>1000000000</v>
      </c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03">
        <f t="shared" si="42"/>
        <v>0</v>
      </c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5">
        <f t="shared" si="43"/>
        <v>0</v>
      </c>
      <c r="AL99" s="106"/>
      <c r="AM99" s="106"/>
      <c r="AN99" s="106"/>
      <c r="AO99" s="106"/>
      <c r="AP99" s="106"/>
      <c r="AQ99" s="106"/>
      <c r="AR99" s="106"/>
      <c r="AS99" s="106"/>
      <c r="AT99" s="200"/>
      <c r="AU99" s="106"/>
      <c r="AV99" s="106"/>
      <c r="AW99" s="106"/>
      <c r="AX99" s="107">
        <f t="shared" si="44"/>
        <v>0</v>
      </c>
      <c r="AY99" s="239">
        <f t="shared" si="45"/>
        <v>1000000000</v>
      </c>
      <c r="AZ99" s="232"/>
      <c r="BA99" s="232"/>
      <c r="BB99" s="255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  <c r="CH99" s="114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  <c r="DS99" s="114"/>
      <c r="DT99" s="114"/>
      <c r="DU99" s="114"/>
      <c r="DV99" s="114"/>
      <c r="DW99" s="114"/>
      <c r="DX99" s="114"/>
      <c r="DY99" s="114"/>
      <c r="DZ99" s="114"/>
      <c r="EA99" s="114"/>
      <c r="EB99" s="114"/>
      <c r="EC99" s="114"/>
      <c r="ED99" s="114"/>
      <c r="EE99" s="114"/>
      <c r="EF99" s="114"/>
      <c r="EG99" s="114"/>
      <c r="EH99" s="114"/>
      <c r="EI99" s="114"/>
      <c r="EJ99" s="114"/>
      <c r="EK99" s="114"/>
      <c r="EL99" s="114"/>
      <c r="EM99" s="114"/>
      <c r="EN99" s="114"/>
      <c r="EO99" s="114"/>
      <c r="EP99" s="114"/>
    </row>
    <row r="100" spans="1:146" s="7" customFormat="1" ht="96" customHeight="1">
      <c r="A100" s="98" t="s">
        <v>40</v>
      </c>
      <c r="B100" s="109" t="s">
        <v>48</v>
      </c>
      <c r="C100" s="212" t="s">
        <v>146</v>
      </c>
      <c r="D100" s="211" t="s">
        <v>196</v>
      </c>
      <c r="E100" s="212" t="s">
        <v>49</v>
      </c>
      <c r="F100" s="113"/>
      <c r="G100" s="110"/>
      <c r="H100" s="100" t="s">
        <v>109</v>
      </c>
      <c r="I100" s="100" t="s">
        <v>52</v>
      </c>
      <c r="J100" s="213" t="s">
        <v>200</v>
      </c>
      <c r="K100" s="111">
        <v>2500000000</v>
      </c>
      <c r="L100" s="112"/>
      <c r="M100" s="112"/>
      <c r="N100" s="112"/>
      <c r="O100" s="112">
        <v>2385199</v>
      </c>
      <c r="P100" s="112">
        <v>183466</v>
      </c>
      <c r="Q100" s="112"/>
      <c r="R100" s="112"/>
      <c r="S100" s="112"/>
      <c r="T100" s="112"/>
      <c r="U100" s="112"/>
      <c r="V100" s="112"/>
      <c r="W100" s="112"/>
      <c r="X100" s="103">
        <f>SUM(L100:W100)</f>
        <v>2568665</v>
      </c>
      <c r="Y100" s="104"/>
      <c r="Z100" s="104"/>
      <c r="AA100" s="104"/>
      <c r="AB100" s="104"/>
      <c r="AC100" s="104">
        <v>568665</v>
      </c>
      <c r="AD100" s="104"/>
      <c r="AE100" s="104"/>
      <c r="AF100" s="104"/>
      <c r="AG100" s="104"/>
      <c r="AH100" s="104"/>
      <c r="AI100" s="104"/>
      <c r="AJ100" s="104"/>
      <c r="AK100" s="105">
        <f>SUM(Y100:AJ100)</f>
        <v>568665</v>
      </c>
      <c r="AL100" s="106"/>
      <c r="AM100" s="106"/>
      <c r="AN100" s="106"/>
      <c r="AO100" s="106"/>
      <c r="AP100" s="106">
        <f>+AC100</f>
        <v>568665</v>
      </c>
      <c r="AQ100" s="106"/>
      <c r="AR100" s="106"/>
      <c r="AS100" s="106"/>
      <c r="AT100" s="200"/>
      <c r="AU100" s="106"/>
      <c r="AV100" s="106"/>
      <c r="AW100" s="106"/>
      <c r="AX100" s="107">
        <f>SUM(AL100:AW100)</f>
        <v>568665</v>
      </c>
      <c r="AY100" s="239">
        <f>+K100-X100</f>
        <v>2497431335</v>
      </c>
      <c r="AZ100" s="232"/>
      <c r="BA100" s="232"/>
      <c r="BB100" s="255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14"/>
      <c r="CG100" s="114"/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14"/>
      <c r="DJ100" s="114"/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14"/>
      <c r="DY100" s="114"/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14"/>
      <c r="EN100" s="114"/>
      <c r="EO100" s="114"/>
      <c r="EP100" s="114"/>
    </row>
    <row r="101" spans="1:146" s="7" customFormat="1" ht="62.25" customHeight="1">
      <c r="A101" s="98" t="s">
        <v>40</v>
      </c>
      <c r="B101" s="109" t="s">
        <v>48</v>
      </c>
      <c r="C101" s="212" t="s">
        <v>184</v>
      </c>
      <c r="D101" s="211" t="s">
        <v>177</v>
      </c>
      <c r="E101" s="212" t="s">
        <v>49</v>
      </c>
      <c r="F101" s="113"/>
      <c r="G101" s="110"/>
      <c r="H101" s="100" t="s">
        <v>109</v>
      </c>
      <c r="I101" s="100" t="s">
        <v>52</v>
      </c>
      <c r="J101" s="213" t="s">
        <v>185</v>
      </c>
      <c r="K101" s="111">
        <v>300000000</v>
      </c>
      <c r="L101" s="112">
        <v>49440000</v>
      </c>
      <c r="M101" s="112">
        <v>34800000</v>
      </c>
      <c r="N101" s="112">
        <v>6832000</v>
      </c>
      <c r="O101" s="112">
        <v>40000000</v>
      </c>
      <c r="P101" s="112">
        <v>100000000</v>
      </c>
      <c r="Q101" s="112"/>
      <c r="R101" s="112"/>
      <c r="S101" s="112"/>
      <c r="T101" s="112"/>
      <c r="U101" s="112"/>
      <c r="V101" s="112"/>
      <c r="W101" s="112"/>
      <c r="X101" s="103">
        <f t="shared" si="42"/>
        <v>231072000</v>
      </c>
      <c r="Y101" s="104"/>
      <c r="Z101" s="104">
        <v>4120000</v>
      </c>
      <c r="AA101" s="104">
        <v>38920000</v>
      </c>
      <c r="AB101" s="104">
        <v>10952000</v>
      </c>
      <c r="AC101" s="104">
        <v>4120000</v>
      </c>
      <c r="AD101" s="104"/>
      <c r="AE101" s="104"/>
      <c r="AF101" s="104"/>
      <c r="AG101" s="104"/>
      <c r="AH101" s="104"/>
      <c r="AI101" s="104"/>
      <c r="AJ101" s="104"/>
      <c r="AK101" s="105">
        <f t="shared" si="43"/>
        <v>58112000</v>
      </c>
      <c r="AL101" s="106"/>
      <c r="AM101" s="106">
        <f>+Z101</f>
        <v>4120000</v>
      </c>
      <c r="AN101" s="106">
        <v>38920000</v>
      </c>
      <c r="AO101" s="106">
        <v>10952000</v>
      </c>
      <c r="AP101" s="106">
        <f>+AC101</f>
        <v>4120000</v>
      </c>
      <c r="AQ101" s="106"/>
      <c r="AR101" s="106"/>
      <c r="AS101" s="106"/>
      <c r="AT101" s="200"/>
      <c r="AU101" s="106"/>
      <c r="AV101" s="106"/>
      <c r="AW101" s="106"/>
      <c r="AX101" s="107">
        <f t="shared" si="44"/>
        <v>58112000</v>
      </c>
      <c r="AY101" s="239">
        <f t="shared" si="45"/>
        <v>68928000</v>
      </c>
      <c r="AZ101" s="232"/>
      <c r="BA101" s="232"/>
      <c r="BB101" s="255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</row>
    <row r="102" spans="1:146" s="7" customFormat="1" ht="45.75">
      <c r="A102" s="98" t="s">
        <v>40</v>
      </c>
      <c r="B102" s="109" t="s">
        <v>48</v>
      </c>
      <c r="C102" s="100" t="s">
        <v>147</v>
      </c>
      <c r="D102" s="101" t="s">
        <v>139</v>
      </c>
      <c r="E102" s="100" t="s">
        <v>49</v>
      </c>
      <c r="F102" s="113"/>
      <c r="G102" s="110"/>
      <c r="H102" s="100" t="s">
        <v>51</v>
      </c>
      <c r="I102" s="100" t="s">
        <v>52</v>
      </c>
      <c r="J102" s="213" t="s">
        <v>201</v>
      </c>
      <c r="K102" s="111">
        <v>1586000000000</v>
      </c>
      <c r="L102" s="112"/>
      <c r="M102" s="112">
        <v>251726221000</v>
      </c>
      <c r="N102" s="112"/>
      <c r="O102" s="112">
        <v>265098717000</v>
      </c>
      <c r="P102" s="112">
        <v>42919164000</v>
      </c>
      <c r="Q102" s="112"/>
      <c r="R102" s="112"/>
      <c r="S102" s="112"/>
      <c r="T102" s="112"/>
      <c r="U102" s="112"/>
      <c r="V102" s="112"/>
      <c r="W102" s="112"/>
      <c r="X102" s="103">
        <f t="shared" si="42"/>
        <v>559744102000</v>
      </c>
      <c r="Y102" s="104"/>
      <c r="Z102" s="104">
        <f>+M102</f>
        <v>251726221000</v>
      </c>
      <c r="AA102" s="104"/>
      <c r="AB102" s="104">
        <f>+O102</f>
        <v>265098717000</v>
      </c>
      <c r="AC102" s="104">
        <f>+P102</f>
        <v>42919164000</v>
      </c>
      <c r="AD102" s="104"/>
      <c r="AE102" s="104"/>
      <c r="AF102" s="104"/>
      <c r="AG102" s="104"/>
      <c r="AH102" s="104"/>
      <c r="AI102" s="104"/>
      <c r="AJ102" s="104"/>
      <c r="AK102" s="105">
        <f t="shared" si="43"/>
        <v>559744102000</v>
      </c>
      <c r="AL102" s="106"/>
      <c r="AM102" s="106">
        <v>251249221000</v>
      </c>
      <c r="AN102" s="106">
        <v>477000000</v>
      </c>
      <c r="AO102" s="106">
        <f>+AB102</f>
        <v>265098717000</v>
      </c>
      <c r="AP102" s="106">
        <f>+AC102</f>
        <v>42919164000</v>
      </c>
      <c r="AQ102" s="106"/>
      <c r="AR102" s="106"/>
      <c r="AS102" s="106"/>
      <c r="AT102" s="200"/>
      <c r="AU102" s="106"/>
      <c r="AV102" s="106"/>
      <c r="AW102" s="106"/>
      <c r="AX102" s="107">
        <f t="shared" si="44"/>
        <v>559744102000</v>
      </c>
      <c r="AY102" s="239">
        <f t="shared" si="45"/>
        <v>1026255898000</v>
      </c>
      <c r="AZ102" s="232"/>
      <c r="BA102" s="232"/>
      <c r="BB102" s="255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4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114"/>
      <c r="EA102" s="114"/>
      <c r="EB102" s="114"/>
      <c r="EC102" s="114"/>
      <c r="ED102" s="114"/>
      <c r="EE102" s="114"/>
      <c r="EF102" s="114"/>
      <c r="EG102" s="114"/>
      <c r="EH102" s="114"/>
      <c r="EI102" s="114"/>
      <c r="EJ102" s="114"/>
      <c r="EK102" s="114"/>
      <c r="EL102" s="114"/>
      <c r="EM102" s="114"/>
      <c r="EN102" s="114"/>
      <c r="EO102" s="114"/>
      <c r="EP102" s="114"/>
    </row>
    <row r="103" spans="1:146" s="7" customFormat="1" ht="45.75">
      <c r="A103" s="98" t="s">
        <v>40</v>
      </c>
      <c r="B103" s="109" t="s">
        <v>48</v>
      </c>
      <c r="C103" s="100" t="s">
        <v>147</v>
      </c>
      <c r="D103" s="101" t="s">
        <v>139</v>
      </c>
      <c r="E103" s="100" t="s">
        <v>49</v>
      </c>
      <c r="F103" s="113"/>
      <c r="G103" s="110"/>
      <c r="H103" s="212" t="s">
        <v>149</v>
      </c>
      <c r="I103" s="212" t="s">
        <v>123</v>
      </c>
      <c r="J103" s="213" t="s">
        <v>201</v>
      </c>
      <c r="K103" s="111">
        <v>35000000000</v>
      </c>
      <c r="L103" s="112"/>
      <c r="M103" s="112"/>
      <c r="N103" s="112"/>
      <c r="O103" s="112"/>
      <c r="P103" s="112">
        <v>5011984000</v>
      </c>
      <c r="Q103" s="112"/>
      <c r="R103" s="112"/>
      <c r="S103" s="112"/>
      <c r="T103" s="112"/>
      <c r="U103" s="112"/>
      <c r="V103" s="112"/>
      <c r="W103" s="112"/>
      <c r="X103" s="103">
        <f t="shared" si="42"/>
        <v>5011984000</v>
      </c>
      <c r="Y103" s="104"/>
      <c r="Z103" s="104"/>
      <c r="AA103" s="104"/>
      <c r="AB103" s="104"/>
      <c r="AC103" s="104">
        <f>+P103</f>
        <v>5011984000</v>
      </c>
      <c r="AD103" s="104"/>
      <c r="AE103" s="104"/>
      <c r="AF103" s="104"/>
      <c r="AG103" s="104"/>
      <c r="AH103" s="104"/>
      <c r="AI103" s="104"/>
      <c r="AJ103" s="104"/>
      <c r="AK103" s="105">
        <f t="shared" si="43"/>
        <v>5011984000</v>
      </c>
      <c r="AL103" s="106"/>
      <c r="AM103" s="106"/>
      <c r="AN103" s="106"/>
      <c r="AO103" s="106"/>
      <c r="AP103" s="106">
        <f>+AC103</f>
        <v>5011984000</v>
      </c>
      <c r="AQ103" s="106"/>
      <c r="AR103" s="106"/>
      <c r="AS103" s="106"/>
      <c r="AT103" s="200"/>
      <c r="AU103" s="106"/>
      <c r="AV103" s="106"/>
      <c r="AW103" s="106"/>
      <c r="AX103" s="107">
        <f t="shared" si="44"/>
        <v>5011984000</v>
      </c>
      <c r="AY103" s="239">
        <f t="shared" si="45"/>
        <v>29988016000</v>
      </c>
      <c r="AZ103" s="232"/>
      <c r="BA103" s="232"/>
      <c r="BB103" s="255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  <c r="DU103" s="114"/>
      <c r="DV103" s="114"/>
      <c r="DW103" s="114"/>
      <c r="DX103" s="114"/>
      <c r="DY103" s="114"/>
      <c r="DZ103" s="114"/>
      <c r="EA103" s="114"/>
      <c r="EB103" s="114"/>
      <c r="EC103" s="114"/>
      <c r="ED103" s="114"/>
      <c r="EE103" s="114"/>
      <c r="EF103" s="114"/>
      <c r="EG103" s="114"/>
      <c r="EH103" s="114"/>
      <c r="EI103" s="114"/>
      <c r="EJ103" s="114"/>
      <c r="EK103" s="114"/>
      <c r="EL103" s="114"/>
      <c r="EM103" s="114"/>
      <c r="EN103" s="114"/>
      <c r="EO103" s="114"/>
      <c r="EP103" s="114"/>
    </row>
    <row r="104" spans="1:146" s="7" customFormat="1" ht="69">
      <c r="A104" s="98" t="s">
        <v>40</v>
      </c>
      <c r="B104" s="109" t="s">
        <v>48</v>
      </c>
      <c r="C104" s="100" t="s">
        <v>147</v>
      </c>
      <c r="D104" s="101" t="s">
        <v>139</v>
      </c>
      <c r="E104" s="212" t="s">
        <v>70</v>
      </c>
      <c r="F104" s="113"/>
      <c r="G104" s="110"/>
      <c r="H104" s="212" t="s">
        <v>51</v>
      </c>
      <c r="I104" s="100" t="s">
        <v>52</v>
      </c>
      <c r="J104" s="213" t="s">
        <v>186</v>
      </c>
      <c r="K104" s="111">
        <v>286633000000</v>
      </c>
      <c r="L104" s="112"/>
      <c r="M104" s="112"/>
      <c r="N104" s="112">
        <v>99099000000</v>
      </c>
      <c r="O104" s="112"/>
      <c r="P104" s="112"/>
      <c r="Q104" s="112"/>
      <c r="R104" s="112"/>
      <c r="S104" s="112"/>
      <c r="T104" s="112"/>
      <c r="U104" s="112"/>
      <c r="V104" s="112"/>
      <c r="W104" s="112"/>
      <c r="X104" s="103">
        <f t="shared" si="42"/>
        <v>99099000000</v>
      </c>
      <c r="Y104" s="104"/>
      <c r="Z104" s="104"/>
      <c r="AA104" s="104">
        <v>99099000000</v>
      </c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5">
        <f t="shared" si="43"/>
        <v>99099000000</v>
      </c>
      <c r="AL104" s="106"/>
      <c r="AM104" s="106"/>
      <c r="AN104" s="106">
        <v>99099000000</v>
      </c>
      <c r="AO104" s="106"/>
      <c r="AP104" s="106"/>
      <c r="AQ104" s="106"/>
      <c r="AR104" s="106"/>
      <c r="AS104" s="106"/>
      <c r="AT104" s="200"/>
      <c r="AU104" s="106"/>
      <c r="AV104" s="106"/>
      <c r="AW104" s="106"/>
      <c r="AX104" s="107">
        <f t="shared" si="44"/>
        <v>99099000000</v>
      </c>
      <c r="AY104" s="239">
        <f t="shared" si="45"/>
        <v>187534000000</v>
      </c>
      <c r="AZ104" s="232"/>
      <c r="BA104" s="232"/>
      <c r="BB104" s="255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14"/>
      <c r="CF104" s="114"/>
      <c r="CG104" s="114"/>
      <c r="CH104" s="114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4"/>
      <c r="DA104" s="114"/>
      <c r="DB104" s="114"/>
      <c r="DC104" s="114"/>
      <c r="DD104" s="114"/>
      <c r="DE104" s="114"/>
      <c r="DF104" s="114"/>
      <c r="DG104" s="114"/>
      <c r="DH104" s="114"/>
      <c r="DI104" s="114"/>
      <c r="DJ104" s="114"/>
      <c r="DK104" s="114"/>
      <c r="DL104" s="114"/>
      <c r="DM104" s="114"/>
      <c r="DN104" s="114"/>
      <c r="DO104" s="114"/>
      <c r="DP104" s="114"/>
      <c r="DQ104" s="114"/>
      <c r="DR104" s="114"/>
      <c r="DS104" s="114"/>
      <c r="DT104" s="114"/>
      <c r="DU104" s="114"/>
      <c r="DV104" s="114"/>
      <c r="DW104" s="114"/>
      <c r="DX104" s="114"/>
      <c r="DY104" s="114"/>
      <c r="DZ104" s="114"/>
      <c r="EA104" s="114"/>
      <c r="EB104" s="114"/>
      <c r="EC104" s="114"/>
      <c r="ED104" s="114"/>
      <c r="EE104" s="114"/>
      <c r="EF104" s="114"/>
      <c r="EG104" s="114"/>
      <c r="EH104" s="114"/>
      <c r="EI104" s="114"/>
      <c r="EJ104" s="114"/>
      <c r="EK104" s="114"/>
      <c r="EL104" s="114"/>
      <c r="EM104" s="114"/>
      <c r="EN104" s="114"/>
      <c r="EO104" s="114"/>
      <c r="EP104" s="114"/>
    </row>
    <row r="105" spans="1:146" s="7" customFormat="1" ht="69">
      <c r="A105" s="98" t="s">
        <v>40</v>
      </c>
      <c r="B105" s="109" t="s">
        <v>48</v>
      </c>
      <c r="C105" s="100" t="s">
        <v>147</v>
      </c>
      <c r="D105" s="211" t="s">
        <v>139</v>
      </c>
      <c r="E105" s="212" t="s">
        <v>70</v>
      </c>
      <c r="F105" s="113"/>
      <c r="G105" s="110"/>
      <c r="H105" s="212" t="s">
        <v>149</v>
      </c>
      <c r="I105" s="212" t="s">
        <v>123</v>
      </c>
      <c r="J105" s="213" t="s">
        <v>186</v>
      </c>
      <c r="K105" s="111">
        <v>2000000000</v>
      </c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03">
        <f t="shared" si="42"/>
        <v>0</v>
      </c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5">
        <f t="shared" si="43"/>
        <v>0</v>
      </c>
      <c r="AL105" s="106"/>
      <c r="AM105" s="106"/>
      <c r="AN105" s="106"/>
      <c r="AO105" s="106"/>
      <c r="AP105" s="106"/>
      <c r="AQ105" s="106"/>
      <c r="AR105" s="106"/>
      <c r="AS105" s="106"/>
      <c r="AT105" s="200"/>
      <c r="AU105" s="106"/>
      <c r="AV105" s="106"/>
      <c r="AW105" s="106"/>
      <c r="AX105" s="107">
        <f t="shared" si="44"/>
        <v>0</v>
      </c>
      <c r="AY105" s="239">
        <f t="shared" si="45"/>
        <v>2000000000</v>
      </c>
      <c r="AZ105" s="232"/>
      <c r="BA105" s="232"/>
      <c r="BB105" s="255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4"/>
      <c r="DE105" s="114"/>
      <c r="DF105" s="114"/>
      <c r="DG105" s="114"/>
      <c r="DH105" s="114"/>
      <c r="DI105" s="114"/>
      <c r="DJ105" s="114"/>
      <c r="DK105" s="114"/>
      <c r="DL105" s="114"/>
      <c r="DM105" s="114"/>
      <c r="DN105" s="114"/>
      <c r="DO105" s="114"/>
      <c r="DP105" s="114"/>
      <c r="DQ105" s="114"/>
      <c r="DR105" s="114"/>
      <c r="DS105" s="114"/>
      <c r="DT105" s="114"/>
      <c r="DU105" s="114"/>
      <c r="DV105" s="114"/>
      <c r="DW105" s="114"/>
      <c r="DX105" s="114"/>
      <c r="DY105" s="114"/>
      <c r="DZ105" s="114"/>
      <c r="EA105" s="114"/>
      <c r="EB105" s="114"/>
      <c r="EC105" s="114"/>
      <c r="ED105" s="114"/>
      <c r="EE105" s="114"/>
      <c r="EF105" s="114"/>
      <c r="EG105" s="114"/>
      <c r="EH105" s="114"/>
      <c r="EI105" s="114"/>
      <c r="EJ105" s="114"/>
      <c r="EK105" s="114"/>
      <c r="EL105" s="114"/>
      <c r="EM105" s="114"/>
      <c r="EN105" s="114"/>
      <c r="EO105" s="114"/>
      <c r="EP105" s="114"/>
    </row>
    <row r="106" spans="1:146" s="7" customFormat="1" ht="103.5">
      <c r="A106" s="98" t="s">
        <v>40</v>
      </c>
      <c r="B106" s="109" t="s">
        <v>48</v>
      </c>
      <c r="C106" s="100" t="s">
        <v>147</v>
      </c>
      <c r="D106" s="211" t="s">
        <v>139</v>
      </c>
      <c r="E106" s="212" t="s">
        <v>72</v>
      </c>
      <c r="F106" s="113"/>
      <c r="G106" s="110"/>
      <c r="H106" s="212" t="s">
        <v>51</v>
      </c>
      <c r="I106" s="212" t="s">
        <v>52</v>
      </c>
      <c r="J106" s="213" t="s">
        <v>202</v>
      </c>
      <c r="K106" s="111">
        <v>50000000000</v>
      </c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03">
        <f>SUM(L106:W106)</f>
        <v>0</v>
      </c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5">
        <f>SUM(Y106:AJ106)</f>
        <v>0</v>
      </c>
      <c r="AL106" s="106"/>
      <c r="AM106" s="106"/>
      <c r="AN106" s="106"/>
      <c r="AO106" s="106"/>
      <c r="AP106" s="106"/>
      <c r="AQ106" s="106"/>
      <c r="AR106" s="106"/>
      <c r="AS106" s="106"/>
      <c r="AT106" s="200"/>
      <c r="AU106" s="106"/>
      <c r="AV106" s="106"/>
      <c r="AW106" s="106"/>
      <c r="AX106" s="107">
        <f>SUM(AL106:AW106)</f>
        <v>0</v>
      </c>
      <c r="AY106" s="239">
        <f>+K106-X106</f>
        <v>50000000000</v>
      </c>
      <c r="AZ106" s="232"/>
      <c r="BA106" s="232"/>
      <c r="BB106" s="255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14"/>
      <c r="BN106" s="114"/>
      <c r="BO106" s="114"/>
      <c r="BP106" s="114"/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114"/>
      <c r="DH106" s="114"/>
      <c r="DI106" s="114"/>
      <c r="DJ106" s="114"/>
      <c r="DK106" s="114"/>
      <c r="DL106" s="114"/>
      <c r="DM106" s="114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114"/>
      <c r="EA106" s="114"/>
      <c r="EB106" s="114"/>
      <c r="EC106" s="114"/>
      <c r="ED106" s="114"/>
      <c r="EE106" s="114"/>
      <c r="EF106" s="114"/>
      <c r="EG106" s="114"/>
      <c r="EH106" s="114"/>
      <c r="EI106" s="114"/>
      <c r="EJ106" s="114"/>
      <c r="EK106" s="114"/>
      <c r="EL106" s="114"/>
      <c r="EM106" s="114"/>
      <c r="EN106" s="114"/>
      <c r="EO106" s="114"/>
      <c r="EP106" s="114"/>
    </row>
    <row r="107" spans="1:146" s="7" customFormat="1" ht="103.5">
      <c r="A107" s="98" t="s">
        <v>40</v>
      </c>
      <c r="B107" s="109" t="s">
        <v>48</v>
      </c>
      <c r="C107" s="100" t="s">
        <v>147</v>
      </c>
      <c r="D107" s="211" t="s">
        <v>139</v>
      </c>
      <c r="E107" s="212" t="s">
        <v>72</v>
      </c>
      <c r="F107" s="113"/>
      <c r="G107" s="110"/>
      <c r="H107" s="212" t="s">
        <v>109</v>
      </c>
      <c r="I107" s="212" t="s">
        <v>52</v>
      </c>
      <c r="J107" s="213" t="s">
        <v>202</v>
      </c>
      <c r="K107" s="111">
        <v>6000000000</v>
      </c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03">
        <f>SUM(L107:W107)</f>
        <v>0</v>
      </c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5">
        <f>SUM(Y107:AJ107)</f>
        <v>0</v>
      </c>
      <c r="AL107" s="106"/>
      <c r="AM107" s="106"/>
      <c r="AN107" s="106"/>
      <c r="AO107" s="106"/>
      <c r="AP107" s="106"/>
      <c r="AQ107" s="106"/>
      <c r="AR107" s="106"/>
      <c r="AS107" s="106"/>
      <c r="AT107" s="200"/>
      <c r="AU107" s="106"/>
      <c r="AV107" s="106"/>
      <c r="AW107" s="106"/>
      <c r="AX107" s="107">
        <f>SUM(AL107:AW107)</f>
        <v>0</v>
      </c>
      <c r="AY107" s="239">
        <f>+K107-X107</f>
        <v>6000000000</v>
      </c>
      <c r="AZ107" s="232"/>
      <c r="BA107" s="232"/>
      <c r="BB107" s="255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14"/>
      <c r="CF107" s="114"/>
      <c r="CG107" s="114"/>
      <c r="CH107" s="114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114"/>
      <c r="DH107" s="114"/>
      <c r="DI107" s="114"/>
      <c r="DJ107" s="114"/>
      <c r="DK107" s="114"/>
      <c r="DL107" s="114"/>
      <c r="DM107" s="114"/>
      <c r="DN107" s="114"/>
      <c r="DO107" s="114"/>
      <c r="DP107" s="114"/>
      <c r="DQ107" s="114"/>
      <c r="DR107" s="114"/>
      <c r="DS107" s="114"/>
      <c r="DT107" s="114"/>
      <c r="DU107" s="114"/>
      <c r="DV107" s="114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</row>
    <row r="108" spans="1:146" s="7" customFormat="1" ht="91.5">
      <c r="A108" s="98" t="s">
        <v>40</v>
      </c>
      <c r="B108" s="109" t="s">
        <v>48</v>
      </c>
      <c r="C108" s="100" t="s">
        <v>147</v>
      </c>
      <c r="D108" s="211" t="s">
        <v>143</v>
      </c>
      <c r="E108" s="212" t="s">
        <v>49</v>
      </c>
      <c r="F108" s="113"/>
      <c r="G108" s="110"/>
      <c r="H108" s="212" t="s">
        <v>51</v>
      </c>
      <c r="I108" s="212" t="s">
        <v>52</v>
      </c>
      <c r="J108" s="213" t="s">
        <v>187</v>
      </c>
      <c r="K108" s="111">
        <v>40000000000</v>
      </c>
      <c r="L108" s="112">
        <v>573769218</v>
      </c>
      <c r="M108" s="112">
        <v>1241041308</v>
      </c>
      <c r="N108" s="112">
        <v>2138222005</v>
      </c>
      <c r="O108" s="112">
        <v>2435337675</v>
      </c>
      <c r="P108" s="112">
        <v>4262672622</v>
      </c>
      <c r="Q108" s="112"/>
      <c r="R108" s="112"/>
      <c r="S108" s="112"/>
      <c r="T108" s="112"/>
      <c r="U108" s="112"/>
      <c r="V108" s="112"/>
      <c r="W108" s="112"/>
      <c r="X108" s="103">
        <f t="shared" si="42"/>
        <v>10651042828</v>
      </c>
      <c r="Y108" s="104"/>
      <c r="Z108" s="104">
        <f>+M108</f>
        <v>1241041308</v>
      </c>
      <c r="AA108" s="104">
        <v>2138222005</v>
      </c>
      <c r="AB108" s="104">
        <v>2575592373</v>
      </c>
      <c r="AC108" s="104">
        <v>4358300825</v>
      </c>
      <c r="AD108" s="104"/>
      <c r="AE108" s="104"/>
      <c r="AF108" s="104"/>
      <c r="AG108" s="104"/>
      <c r="AH108" s="104"/>
      <c r="AI108" s="104"/>
      <c r="AJ108" s="104"/>
      <c r="AK108" s="105">
        <f t="shared" si="43"/>
        <v>10313156511</v>
      </c>
      <c r="AL108" s="106"/>
      <c r="AM108" s="106">
        <f>+Z108</f>
        <v>1241041308</v>
      </c>
      <c r="AN108" s="106">
        <v>2138222005</v>
      </c>
      <c r="AO108" s="106">
        <f>+AB108</f>
        <v>2575592373</v>
      </c>
      <c r="AP108" s="106">
        <f>+AC108</f>
        <v>4358300825</v>
      </c>
      <c r="AQ108" s="106"/>
      <c r="AR108" s="106"/>
      <c r="AS108" s="106"/>
      <c r="AT108" s="200"/>
      <c r="AU108" s="106"/>
      <c r="AV108" s="106"/>
      <c r="AW108" s="106"/>
      <c r="AX108" s="107">
        <f t="shared" si="44"/>
        <v>10313156511</v>
      </c>
      <c r="AY108" s="239">
        <f t="shared" si="45"/>
        <v>29348957172</v>
      </c>
      <c r="AZ108" s="232"/>
      <c r="BA108" s="232"/>
      <c r="BB108" s="255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114"/>
      <c r="DH108" s="114"/>
      <c r="DI108" s="114"/>
      <c r="DJ108" s="114"/>
      <c r="DK108" s="114"/>
      <c r="DL108" s="114"/>
      <c r="DM108" s="114"/>
      <c r="DN108" s="114"/>
      <c r="DO108" s="114"/>
      <c r="DP108" s="114"/>
      <c r="DQ108" s="114"/>
      <c r="DR108" s="114"/>
      <c r="DS108" s="114"/>
      <c r="DT108" s="114"/>
      <c r="DU108" s="114"/>
      <c r="DV108" s="114"/>
      <c r="DW108" s="114"/>
      <c r="DX108" s="114"/>
      <c r="DY108" s="114"/>
      <c r="DZ108" s="114"/>
      <c r="EA108" s="114"/>
      <c r="EB108" s="114"/>
      <c r="EC108" s="114"/>
      <c r="ED108" s="114"/>
      <c r="EE108" s="114"/>
      <c r="EF108" s="114"/>
      <c r="EG108" s="114"/>
      <c r="EH108" s="114"/>
      <c r="EI108" s="114"/>
      <c r="EJ108" s="114"/>
      <c r="EK108" s="114"/>
      <c r="EL108" s="114"/>
      <c r="EM108" s="114"/>
      <c r="EN108" s="114"/>
      <c r="EO108" s="114"/>
      <c r="EP108" s="114"/>
    </row>
    <row r="109" spans="1:146" s="7" customFormat="1" ht="91.5">
      <c r="A109" s="98" t="s">
        <v>40</v>
      </c>
      <c r="B109" s="109" t="s">
        <v>48</v>
      </c>
      <c r="C109" s="100" t="s">
        <v>147</v>
      </c>
      <c r="D109" s="101" t="s">
        <v>143</v>
      </c>
      <c r="E109" s="212" t="s">
        <v>49</v>
      </c>
      <c r="F109" s="113"/>
      <c r="G109" s="110"/>
      <c r="H109" s="212" t="s">
        <v>51</v>
      </c>
      <c r="I109" s="212" t="s">
        <v>52</v>
      </c>
      <c r="J109" s="213" t="s">
        <v>203</v>
      </c>
      <c r="K109" s="111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03">
        <f>SUM(L109:W109)</f>
        <v>0</v>
      </c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5">
        <f>SUM(Y109:AJ109)</f>
        <v>0</v>
      </c>
      <c r="AL109" s="106"/>
      <c r="AM109" s="106"/>
      <c r="AN109" s="106"/>
      <c r="AO109" s="106"/>
      <c r="AP109" s="106"/>
      <c r="AQ109" s="106"/>
      <c r="AR109" s="106"/>
      <c r="AS109" s="106"/>
      <c r="AT109" s="200"/>
      <c r="AU109" s="106"/>
      <c r="AV109" s="106"/>
      <c r="AW109" s="106"/>
      <c r="AX109" s="107">
        <f>SUM(AL109:AW109)</f>
        <v>0</v>
      </c>
      <c r="AY109" s="239">
        <f>+K109-X109</f>
        <v>0</v>
      </c>
      <c r="AZ109" s="232"/>
      <c r="BA109" s="232"/>
      <c r="BB109" s="255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</row>
    <row r="110" spans="1:146" s="7" customFormat="1" ht="70.5" customHeight="1">
      <c r="A110" s="115" t="s">
        <v>40</v>
      </c>
      <c r="B110" s="109" t="s">
        <v>48</v>
      </c>
      <c r="C110" s="100" t="s">
        <v>148</v>
      </c>
      <c r="D110" s="101" t="s">
        <v>139</v>
      </c>
      <c r="E110" s="100" t="s">
        <v>49</v>
      </c>
      <c r="F110" s="110"/>
      <c r="G110" s="110"/>
      <c r="H110" s="100" t="s">
        <v>74</v>
      </c>
      <c r="I110" s="100" t="s">
        <v>52</v>
      </c>
      <c r="J110" s="213" t="s">
        <v>170</v>
      </c>
      <c r="K110" s="111">
        <v>159932000000</v>
      </c>
      <c r="L110" s="112">
        <v>78061042749</v>
      </c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03">
        <f t="shared" si="42"/>
        <v>78061042749</v>
      </c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5">
        <f t="shared" si="43"/>
        <v>0</v>
      </c>
      <c r="AL110" s="106"/>
      <c r="AM110" s="106"/>
      <c r="AN110" s="106"/>
      <c r="AO110" s="106"/>
      <c r="AP110" s="106"/>
      <c r="AQ110" s="106"/>
      <c r="AR110" s="106"/>
      <c r="AS110" s="106"/>
      <c r="AT110" s="200"/>
      <c r="AU110" s="106"/>
      <c r="AV110" s="106"/>
      <c r="AW110" s="106"/>
      <c r="AX110" s="107">
        <f t="shared" si="44"/>
        <v>0</v>
      </c>
      <c r="AY110" s="239">
        <f t="shared" si="45"/>
        <v>81870957251</v>
      </c>
      <c r="AZ110" s="232"/>
      <c r="BA110" s="232"/>
      <c r="BB110" s="255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114"/>
      <c r="EA110" s="114"/>
      <c r="EB110" s="114"/>
      <c r="EC110" s="114"/>
      <c r="ED110" s="114"/>
      <c r="EE110" s="114"/>
      <c r="EF110" s="114"/>
      <c r="EG110" s="114"/>
      <c r="EH110" s="114"/>
      <c r="EI110" s="114"/>
      <c r="EJ110" s="114"/>
      <c r="EK110" s="114"/>
      <c r="EL110" s="114"/>
      <c r="EM110" s="114"/>
      <c r="EN110" s="114"/>
      <c r="EO110" s="114"/>
      <c r="EP110" s="114"/>
    </row>
    <row r="111" spans="1:146" s="7" customFormat="1" ht="70.5" customHeight="1">
      <c r="A111" s="115" t="s">
        <v>40</v>
      </c>
      <c r="B111" s="109" t="s">
        <v>48</v>
      </c>
      <c r="C111" s="100" t="s">
        <v>148</v>
      </c>
      <c r="D111" s="101" t="s">
        <v>139</v>
      </c>
      <c r="E111" s="100" t="s">
        <v>86</v>
      </c>
      <c r="F111" s="110"/>
      <c r="G111" s="110"/>
      <c r="H111" s="100" t="s">
        <v>150</v>
      </c>
      <c r="I111" s="100" t="s">
        <v>52</v>
      </c>
      <c r="J111" s="213" t="s">
        <v>171</v>
      </c>
      <c r="K111" s="116">
        <v>80000000000</v>
      </c>
      <c r="L111" s="112">
        <v>13728000000</v>
      </c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03">
        <f t="shared" si="42"/>
        <v>13728000000</v>
      </c>
      <c r="Y111" s="104"/>
      <c r="Z111" s="104"/>
      <c r="AA111" s="104"/>
      <c r="AB111" s="104"/>
      <c r="AC111" s="104">
        <v>1807144647</v>
      </c>
      <c r="AD111" s="104"/>
      <c r="AE111" s="104"/>
      <c r="AF111" s="104"/>
      <c r="AG111" s="104"/>
      <c r="AH111" s="104"/>
      <c r="AI111" s="104"/>
      <c r="AJ111" s="104"/>
      <c r="AK111" s="105">
        <f t="shared" si="43"/>
        <v>1807144647</v>
      </c>
      <c r="AL111" s="106"/>
      <c r="AM111" s="106"/>
      <c r="AN111" s="106"/>
      <c r="AO111" s="106"/>
      <c r="AP111" s="106">
        <f>+AC111</f>
        <v>1807144647</v>
      </c>
      <c r="AQ111" s="106"/>
      <c r="AR111" s="106"/>
      <c r="AS111" s="106"/>
      <c r="AT111" s="200"/>
      <c r="AU111" s="106"/>
      <c r="AV111" s="106"/>
      <c r="AW111" s="106"/>
      <c r="AX111" s="107">
        <f t="shared" si="44"/>
        <v>1807144647</v>
      </c>
      <c r="AY111" s="239">
        <f t="shared" si="45"/>
        <v>66272000000</v>
      </c>
      <c r="AZ111" s="232"/>
      <c r="BA111" s="232"/>
      <c r="BB111" s="255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4"/>
      <c r="DJ111" s="114"/>
      <c r="DK111" s="114"/>
      <c r="DL111" s="114"/>
      <c r="DM111" s="114"/>
      <c r="DN111" s="114"/>
      <c r="DO111" s="114"/>
      <c r="DP111" s="114"/>
      <c r="DQ111" s="114"/>
      <c r="DR111" s="114"/>
      <c r="DS111" s="114"/>
      <c r="DT111" s="114"/>
      <c r="DU111" s="114"/>
      <c r="DV111" s="114"/>
      <c r="DW111" s="114"/>
      <c r="DX111" s="114"/>
      <c r="DY111" s="114"/>
      <c r="DZ111" s="114"/>
      <c r="EA111" s="114"/>
      <c r="EB111" s="114"/>
      <c r="EC111" s="114"/>
      <c r="ED111" s="114"/>
      <c r="EE111" s="114"/>
      <c r="EF111" s="114"/>
      <c r="EG111" s="114"/>
      <c r="EH111" s="114"/>
      <c r="EI111" s="114"/>
      <c r="EJ111" s="114"/>
      <c r="EK111" s="114"/>
      <c r="EL111" s="114"/>
      <c r="EM111" s="114"/>
      <c r="EN111" s="114"/>
      <c r="EO111" s="114"/>
      <c r="EP111" s="114"/>
    </row>
    <row r="112" spans="1:146" s="7" customFormat="1" ht="57">
      <c r="A112" s="115" t="s">
        <v>40</v>
      </c>
      <c r="B112" s="109" t="s">
        <v>48</v>
      </c>
      <c r="C112" s="100" t="s">
        <v>148</v>
      </c>
      <c r="D112" s="101" t="s">
        <v>139</v>
      </c>
      <c r="E112" s="100" t="s">
        <v>66</v>
      </c>
      <c r="F112" s="110"/>
      <c r="G112" s="110"/>
      <c r="H112" s="212" t="s">
        <v>109</v>
      </c>
      <c r="I112" s="212" t="s">
        <v>52</v>
      </c>
      <c r="J112" s="213" t="s">
        <v>172</v>
      </c>
      <c r="K112" s="116">
        <v>140037000000</v>
      </c>
      <c r="L112" s="112"/>
      <c r="M112" s="112">
        <v>19123862279</v>
      </c>
      <c r="N112" s="112">
        <v>9770250521</v>
      </c>
      <c r="O112" s="112">
        <v>9374184010</v>
      </c>
      <c r="P112" s="112">
        <v>9907207961</v>
      </c>
      <c r="Q112" s="112"/>
      <c r="R112" s="112"/>
      <c r="S112" s="112"/>
      <c r="T112" s="112"/>
      <c r="U112" s="112"/>
      <c r="V112" s="112"/>
      <c r="W112" s="112"/>
      <c r="X112" s="103">
        <f t="shared" si="42"/>
        <v>48175504771</v>
      </c>
      <c r="Y112" s="104"/>
      <c r="Z112" s="104">
        <f>+M112</f>
        <v>19123862279</v>
      </c>
      <c r="AA112" s="104">
        <v>9770250521</v>
      </c>
      <c r="AB112" s="104">
        <f>+O112</f>
        <v>9374184010</v>
      </c>
      <c r="AC112" s="104">
        <f>+P112</f>
        <v>9907207961</v>
      </c>
      <c r="AD112" s="104"/>
      <c r="AE112" s="104"/>
      <c r="AF112" s="104"/>
      <c r="AG112" s="104"/>
      <c r="AH112" s="104"/>
      <c r="AI112" s="104"/>
      <c r="AJ112" s="104"/>
      <c r="AK112" s="105">
        <f t="shared" si="43"/>
        <v>48175504771</v>
      </c>
      <c r="AL112" s="106"/>
      <c r="AM112" s="106">
        <f>+Z112</f>
        <v>19123862279</v>
      </c>
      <c r="AN112" s="106">
        <v>9770250521</v>
      </c>
      <c r="AO112" s="106">
        <f>+AB112</f>
        <v>9374184010</v>
      </c>
      <c r="AP112" s="106">
        <f>+AC112</f>
        <v>9907207961</v>
      </c>
      <c r="AQ112" s="106"/>
      <c r="AR112" s="106"/>
      <c r="AS112" s="106"/>
      <c r="AT112" s="200"/>
      <c r="AU112" s="106"/>
      <c r="AV112" s="106"/>
      <c r="AW112" s="106"/>
      <c r="AX112" s="107">
        <f t="shared" si="44"/>
        <v>48175504771</v>
      </c>
      <c r="AY112" s="239">
        <f t="shared" si="45"/>
        <v>91861495229</v>
      </c>
      <c r="AZ112" s="232"/>
      <c r="BA112" s="232"/>
      <c r="BB112" s="255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</row>
    <row r="113" spans="1:146" s="7" customFormat="1" ht="63" customHeight="1">
      <c r="A113" s="115" t="s">
        <v>40</v>
      </c>
      <c r="B113" s="109" t="s">
        <v>48</v>
      </c>
      <c r="C113" s="100" t="s">
        <v>148</v>
      </c>
      <c r="D113" s="101" t="s">
        <v>139</v>
      </c>
      <c r="E113" s="100" t="s">
        <v>66</v>
      </c>
      <c r="F113" s="110"/>
      <c r="G113" s="110"/>
      <c r="H113" s="212" t="s">
        <v>74</v>
      </c>
      <c r="I113" s="212" t="s">
        <v>52</v>
      </c>
      <c r="J113" s="213" t="s">
        <v>172</v>
      </c>
      <c r="K113" s="116">
        <v>10000000000</v>
      </c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03">
        <f t="shared" si="42"/>
        <v>0</v>
      </c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5">
        <f t="shared" si="43"/>
        <v>0</v>
      </c>
      <c r="AL113" s="106"/>
      <c r="AM113" s="106"/>
      <c r="AN113" s="106"/>
      <c r="AO113" s="106"/>
      <c r="AP113" s="106"/>
      <c r="AQ113" s="106"/>
      <c r="AR113" s="106"/>
      <c r="AS113" s="106"/>
      <c r="AT113" s="200"/>
      <c r="AU113" s="106"/>
      <c r="AV113" s="106"/>
      <c r="AW113" s="106"/>
      <c r="AX113" s="107">
        <f t="shared" si="44"/>
        <v>0</v>
      </c>
      <c r="AY113" s="239">
        <f t="shared" si="45"/>
        <v>10000000000</v>
      </c>
      <c r="AZ113" s="232"/>
      <c r="BA113" s="232"/>
      <c r="BB113" s="255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/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/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/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/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</row>
    <row r="114" spans="1:146" s="7" customFormat="1" ht="57">
      <c r="A114" s="115" t="s">
        <v>40</v>
      </c>
      <c r="B114" s="109" t="s">
        <v>48</v>
      </c>
      <c r="C114" s="100" t="s">
        <v>148</v>
      </c>
      <c r="D114" s="101" t="s">
        <v>139</v>
      </c>
      <c r="E114" s="100" t="s">
        <v>68</v>
      </c>
      <c r="F114" s="110"/>
      <c r="G114" s="110"/>
      <c r="H114" s="100" t="s">
        <v>74</v>
      </c>
      <c r="I114" s="100" t="s">
        <v>52</v>
      </c>
      <c r="J114" s="213" t="s">
        <v>173</v>
      </c>
      <c r="K114" s="116">
        <v>104480000000</v>
      </c>
      <c r="L114" s="112">
        <v>51882312240</v>
      </c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03">
        <f t="shared" si="42"/>
        <v>51882312240</v>
      </c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5">
        <f t="shared" si="43"/>
        <v>0</v>
      </c>
      <c r="AL114" s="106"/>
      <c r="AM114" s="106"/>
      <c r="AN114" s="106"/>
      <c r="AO114" s="106"/>
      <c r="AP114" s="106"/>
      <c r="AQ114" s="106"/>
      <c r="AR114" s="106"/>
      <c r="AS114" s="106"/>
      <c r="AT114" s="200"/>
      <c r="AU114" s="106"/>
      <c r="AV114" s="106"/>
      <c r="AW114" s="106"/>
      <c r="AX114" s="107">
        <f t="shared" si="44"/>
        <v>0</v>
      </c>
      <c r="AY114" s="239">
        <f t="shared" si="45"/>
        <v>52597687760</v>
      </c>
      <c r="AZ114" s="232"/>
      <c r="BA114" s="232"/>
      <c r="BB114" s="255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</row>
    <row r="115" spans="1:146" s="7" customFormat="1" ht="57">
      <c r="A115" s="115" t="s">
        <v>40</v>
      </c>
      <c r="B115" s="109" t="s">
        <v>48</v>
      </c>
      <c r="C115" s="100" t="s">
        <v>148</v>
      </c>
      <c r="D115" s="101" t="s">
        <v>139</v>
      </c>
      <c r="E115" s="100" t="s">
        <v>70</v>
      </c>
      <c r="F115" s="110"/>
      <c r="G115" s="110"/>
      <c r="H115" s="100" t="s">
        <v>74</v>
      </c>
      <c r="I115" s="100" t="s">
        <v>52</v>
      </c>
      <c r="J115" s="213" t="s">
        <v>174</v>
      </c>
      <c r="K115" s="116">
        <v>35000000000</v>
      </c>
      <c r="L115" s="112">
        <v>25812547691</v>
      </c>
      <c r="M115" s="112"/>
      <c r="N115" s="112"/>
      <c r="O115" s="112"/>
      <c r="P115" s="112">
        <v>2928492851</v>
      </c>
      <c r="Q115" s="112"/>
      <c r="R115" s="112"/>
      <c r="S115" s="112"/>
      <c r="T115" s="112"/>
      <c r="U115" s="112"/>
      <c r="V115" s="112"/>
      <c r="W115" s="112"/>
      <c r="X115" s="103">
        <f>SUM(L115:W115)</f>
        <v>28741040542</v>
      </c>
      <c r="Y115" s="104"/>
      <c r="Z115" s="104"/>
      <c r="AA115" s="104"/>
      <c r="AB115" s="104">
        <v>2356745086</v>
      </c>
      <c r="AC115" s="104">
        <v>1091313039</v>
      </c>
      <c r="AD115" s="104"/>
      <c r="AE115" s="104"/>
      <c r="AF115" s="104"/>
      <c r="AG115" s="104"/>
      <c r="AH115" s="104"/>
      <c r="AI115" s="104"/>
      <c r="AJ115" s="104"/>
      <c r="AK115" s="105">
        <f>SUM(Y115:AJ115)</f>
        <v>3448058125</v>
      </c>
      <c r="AL115" s="106"/>
      <c r="AM115" s="106"/>
      <c r="AN115" s="106"/>
      <c r="AO115" s="106">
        <v>2166596157</v>
      </c>
      <c r="AP115" s="106">
        <v>873164842</v>
      </c>
      <c r="AQ115" s="106"/>
      <c r="AR115" s="106"/>
      <c r="AS115" s="106"/>
      <c r="AT115" s="200"/>
      <c r="AU115" s="106"/>
      <c r="AV115" s="106"/>
      <c r="AW115" s="106"/>
      <c r="AX115" s="107">
        <f>SUM(AL115:AW115)</f>
        <v>3039760999</v>
      </c>
      <c r="AY115" s="239">
        <f>+K115-X115</f>
        <v>6258959458</v>
      </c>
      <c r="AZ115" s="232"/>
      <c r="BA115" s="232"/>
      <c r="BB115" s="255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  <c r="BU115" s="114"/>
      <c r="BV115" s="114"/>
      <c r="BW115" s="114"/>
      <c r="BX115" s="114"/>
      <c r="BY115" s="114"/>
      <c r="BZ115" s="114"/>
      <c r="CA115" s="114"/>
      <c r="CB115" s="114"/>
      <c r="CC115" s="114"/>
      <c r="CD115" s="114"/>
      <c r="CE115" s="114"/>
      <c r="CF115" s="114"/>
      <c r="CG115" s="114"/>
      <c r="CH115" s="114"/>
      <c r="CI115" s="114"/>
      <c r="CJ115" s="114"/>
      <c r="CK115" s="114"/>
      <c r="CL115" s="114"/>
      <c r="CM115" s="114"/>
      <c r="CN115" s="114"/>
      <c r="CO115" s="114"/>
      <c r="CP115" s="114"/>
      <c r="CQ115" s="114"/>
      <c r="CR115" s="114"/>
      <c r="CS115" s="114"/>
      <c r="CT115" s="114"/>
      <c r="CU115" s="114"/>
      <c r="CV115" s="114"/>
      <c r="CW115" s="114"/>
      <c r="CX115" s="114"/>
      <c r="CY115" s="114"/>
      <c r="CZ115" s="114"/>
      <c r="DA115" s="114"/>
      <c r="DB115" s="114"/>
      <c r="DC115" s="114"/>
      <c r="DD115" s="114"/>
      <c r="DE115" s="114"/>
      <c r="DF115" s="114"/>
      <c r="DG115" s="114"/>
      <c r="DH115" s="114"/>
      <c r="DI115" s="114"/>
      <c r="DJ115" s="114"/>
      <c r="DK115" s="114"/>
      <c r="DL115" s="114"/>
      <c r="DM115" s="114"/>
      <c r="DN115" s="114"/>
      <c r="DO115" s="114"/>
      <c r="DP115" s="114"/>
      <c r="DQ115" s="114"/>
      <c r="DR115" s="114"/>
      <c r="DS115" s="114"/>
      <c r="DT115" s="114"/>
      <c r="DU115" s="114"/>
      <c r="DV115" s="114"/>
      <c r="DW115" s="114"/>
      <c r="DX115" s="114"/>
      <c r="DY115" s="114"/>
      <c r="DZ115" s="114"/>
      <c r="EA115" s="114"/>
      <c r="EB115" s="114"/>
      <c r="EC115" s="114"/>
      <c r="ED115" s="114"/>
      <c r="EE115" s="114"/>
      <c r="EF115" s="114"/>
      <c r="EG115" s="114"/>
      <c r="EH115" s="114"/>
      <c r="EI115" s="114"/>
      <c r="EJ115" s="114"/>
      <c r="EK115" s="114"/>
      <c r="EL115" s="114"/>
      <c r="EM115" s="114"/>
      <c r="EN115" s="114"/>
      <c r="EO115" s="114"/>
      <c r="EP115" s="114"/>
    </row>
    <row r="116" spans="1:146" s="7" customFormat="1" ht="92.25" thickBot="1">
      <c r="A116" s="115" t="s">
        <v>40</v>
      </c>
      <c r="B116" s="109" t="s">
        <v>48</v>
      </c>
      <c r="C116" s="100" t="s">
        <v>148</v>
      </c>
      <c r="D116" s="101" t="s">
        <v>139</v>
      </c>
      <c r="E116" s="100"/>
      <c r="F116" s="110"/>
      <c r="G116" s="110"/>
      <c r="H116" s="100" t="s">
        <v>74</v>
      </c>
      <c r="I116" s="100" t="s">
        <v>52</v>
      </c>
      <c r="J116" s="213" t="s">
        <v>204</v>
      </c>
      <c r="K116" s="116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03">
        <f t="shared" si="42"/>
        <v>0</v>
      </c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5">
        <f t="shared" si="43"/>
        <v>0</v>
      </c>
      <c r="AL116" s="106"/>
      <c r="AM116" s="106"/>
      <c r="AN116" s="106"/>
      <c r="AO116" s="106"/>
      <c r="AP116" s="106"/>
      <c r="AQ116" s="106"/>
      <c r="AR116" s="106"/>
      <c r="AS116" s="106"/>
      <c r="AT116" s="200"/>
      <c r="AU116" s="106"/>
      <c r="AV116" s="106"/>
      <c r="AW116" s="106"/>
      <c r="AX116" s="107">
        <f>SUM(AL116:AW116)</f>
        <v>0</v>
      </c>
      <c r="AY116" s="239">
        <f t="shared" si="45"/>
        <v>0</v>
      </c>
      <c r="AZ116" s="232"/>
      <c r="BA116" s="232"/>
      <c r="BB116" s="255"/>
      <c r="BC116" s="114"/>
      <c r="BD116" s="114"/>
      <c r="BE116" s="114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4"/>
      <c r="BT116" s="114"/>
      <c r="BU116" s="114"/>
      <c r="BV116" s="114"/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4"/>
      <c r="CL116" s="114"/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4"/>
      <c r="DE116" s="114"/>
      <c r="DF116" s="114"/>
      <c r="DG116" s="114"/>
      <c r="DH116" s="114"/>
      <c r="DI116" s="114"/>
      <c r="DJ116" s="114"/>
      <c r="DK116" s="114"/>
      <c r="DL116" s="114"/>
      <c r="DM116" s="114"/>
      <c r="DN116" s="114"/>
      <c r="DO116" s="114"/>
      <c r="DP116" s="114"/>
      <c r="DQ116" s="114"/>
      <c r="DR116" s="114"/>
      <c r="DS116" s="114"/>
      <c r="DT116" s="114"/>
      <c r="DU116" s="114"/>
      <c r="DV116" s="114"/>
      <c r="DW116" s="114"/>
      <c r="DX116" s="114"/>
      <c r="DY116" s="114"/>
      <c r="DZ116" s="114"/>
      <c r="EA116" s="114"/>
      <c r="EB116" s="114"/>
      <c r="EC116" s="114"/>
      <c r="ED116" s="114"/>
      <c r="EE116" s="114"/>
      <c r="EF116" s="114"/>
      <c r="EG116" s="114"/>
      <c r="EH116" s="114"/>
      <c r="EI116" s="114"/>
      <c r="EJ116" s="114"/>
      <c r="EK116" s="114"/>
      <c r="EL116" s="114"/>
      <c r="EM116" s="114"/>
      <c r="EN116" s="114"/>
      <c r="EO116" s="114"/>
      <c r="EP116" s="114"/>
    </row>
    <row r="117" spans="1:146" s="7" customFormat="1" ht="28.5" customHeight="1" thickBot="1">
      <c r="A117" s="136"/>
      <c r="B117" s="137"/>
      <c r="C117" s="137"/>
      <c r="D117" s="137"/>
      <c r="E117" s="137"/>
      <c r="F117" s="137"/>
      <c r="G117" s="137"/>
      <c r="H117" s="137"/>
      <c r="I117" s="138"/>
      <c r="J117" s="139" t="s">
        <v>151</v>
      </c>
      <c r="K117" s="140">
        <f aca="true" t="shared" si="46" ref="K117:BA117">SUM(K82:K116)</f>
        <v>2587124450000</v>
      </c>
      <c r="L117" s="140">
        <f t="shared" si="46"/>
        <v>171593414300</v>
      </c>
      <c r="M117" s="140">
        <f t="shared" si="46"/>
        <v>275528747655</v>
      </c>
      <c r="N117" s="140">
        <f t="shared" si="46"/>
        <v>112626205772</v>
      </c>
      <c r="O117" s="140">
        <f t="shared" si="46"/>
        <v>278024685957.5</v>
      </c>
      <c r="P117" s="140">
        <f t="shared" si="46"/>
        <v>67537006347</v>
      </c>
      <c r="Q117" s="140">
        <f t="shared" si="46"/>
        <v>0</v>
      </c>
      <c r="R117" s="140">
        <f t="shared" si="46"/>
        <v>0</v>
      </c>
      <c r="S117" s="140">
        <f t="shared" si="46"/>
        <v>0</v>
      </c>
      <c r="T117" s="140">
        <f t="shared" si="46"/>
        <v>0</v>
      </c>
      <c r="U117" s="140">
        <f t="shared" si="46"/>
        <v>0</v>
      </c>
      <c r="V117" s="140">
        <f t="shared" si="46"/>
        <v>0</v>
      </c>
      <c r="W117" s="140">
        <f t="shared" si="46"/>
        <v>0</v>
      </c>
      <c r="X117" s="140">
        <f t="shared" si="46"/>
        <v>905310060031.5</v>
      </c>
      <c r="Y117" s="140">
        <f t="shared" si="46"/>
        <v>0</v>
      </c>
      <c r="Z117" s="140">
        <f t="shared" si="46"/>
        <v>272095244587</v>
      </c>
      <c r="AA117" s="140">
        <f t="shared" si="46"/>
        <v>111377686526</v>
      </c>
      <c r="AB117" s="140">
        <f t="shared" si="46"/>
        <v>279476663032.5</v>
      </c>
      <c r="AC117" s="140">
        <f t="shared" si="46"/>
        <v>66994249489</v>
      </c>
      <c r="AD117" s="140">
        <f t="shared" si="46"/>
        <v>0</v>
      </c>
      <c r="AE117" s="140">
        <f t="shared" si="46"/>
        <v>0</v>
      </c>
      <c r="AF117" s="140">
        <f t="shared" si="46"/>
        <v>0</v>
      </c>
      <c r="AG117" s="140">
        <f t="shared" si="46"/>
        <v>0</v>
      </c>
      <c r="AH117" s="140">
        <f t="shared" si="46"/>
        <v>0</v>
      </c>
      <c r="AI117" s="140">
        <f t="shared" si="46"/>
        <v>0</v>
      </c>
      <c r="AJ117" s="140">
        <f t="shared" si="46"/>
        <v>0</v>
      </c>
      <c r="AK117" s="140">
        <f t="shared" si="46"/>
        <v>729943843634.5</v>
      </c>
      <c r="AL117" s="140">
        <f t="shared" si="46"/>
        <v>0</v>
      </c>
      <c r="AM117" s="140">
        <f t="shared" si="46"/>
        <v>271618244587</v>
      </c>
      <c r="AN117" s="140">
        <f t="shared" si="46"/>
        <v>111854686526</v>
      </c>
      <c r="AO117" s="140">
        <f t="shared" si="46"/>
        <v>279231807860.5</v>
      </c>
      <c r="AP117" s="140">
        <f t="shared" si="46"/>
        <v>66830807535</v>
      </c>
      <c r="AQ117" s="140">
        <f t="shared" si="46"/>
        <v>0</v>
      </c>
      <c r="AR117" s="140">
        <f t="shared" si="46"/>
        <v>0</v>
      </c>
      <c r="AS117" s="140">
        <f t="shared" si="46"/>
        <v>0</v>
      </c>
      <c r="AT117" s="140">
        <f t="shared" si="46"/>
        <v>0</v>
      </c>
      <c r="AU117" s="140">
        <f t="shared" si="46"/>
        <v>0</v>
      </c>
      <c r="AV117" s="140">
        <f t="shared" si="46"/>
        <v>0</v>
      </c>
      <c r="AW117" s="140">
        <f t="shared" si="46"/>
        <v>0</v>
      </c>
      <c r="AX117" s="140">
        <f t="shared" si="46"/>
        <v>729535546508.5</v>
      </c>
      <c r="AY117" s="140">
        <f t="shared" si="46"/>
        <v>1681814389968.5</v>
      </c>
      <c r="AZ117" s="240">
        <f t="shared" si="46"/>
        <v>0</v>
      </c>
      <c r="BA117" s="240">
        <f t="shared" si="46"/>
        <v>0</v>
      </c>
      <c r="BB117" s="255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</row>
    <row r="118" spans="1:146" s="7" customFormat="1" ht="42" thickBot="1">
      <c r="A118" s="141"/>
      <c r="B118" s="142"/>
      <c r="C118" s="142"/>
      <c r="D118" s="142"/>
      <c r="E118" s="142"/>
      <c r="F118" s="142"/>
      <c r="G118" s="142"/>
      <c r="H118" s="142"/>
      <c r="I118" s="143"/>
      <c r="J118" s="144" t="s">
        <v>152</v>
      </c>
      <c r="K118" s="140">
        <f aca="true" t="shared" si="47" ref="K118:BA118">K80+K117</f>
        <v>2637771450000</v>
      </c>
      <c r="L118" s="140">
        <f t="shared" si="47"/>
        <v>175277254308.31</v>
      </c>
      <c r="M118" s="140">
        <f t="shared" si="47"/>
        <v>279909698254.39</v>
      </c>
      <c r="N118" s="140">
        <f t="shared" si="47"/>
        <v>114415941543.65</v>
      </c>
      <c r="O118" s="140">
        <f t="shared" si="47"/>
        <v>280979958988.67</v>
      </c>
      <c r="P118" s="140">
        <f t="shared" si="47"/>
        <v>72864722846.67</v>
      </c>
      <c r="Q118" s="140">
        <f t="shared" si="47"/>
        <v>0</v>
      </c>
      <c r="R118" s="140">
        <f t="shared" si="47"/>
        <v>0</v>
      </c>
      <c r="S118" s="140">
        <f t="shared" si="47"/>
        <v>0</v>
      </c>
      <c r="T118" s="140">
        <f t="shared" si="47"/>
        <v>0</v>
      </c>
      <c r="U118" s="140">
        <f t="shared" si="47"/>
        <v>0</v>
      </c>
      <c r="V118" s="140">
        <f t="shared" si="47"/>
        <v>0</v>
      </c>
      <c r="W118" s="140">
        <f t="shared" si="47"/>
        <v>0</v>
      </c>
      <c r="X118" s="140">
        <f t="shared" si="47"/>
        <v>923447575941.69</v>
      </c>
      <c r="Y118" s="140">
        <f t="shared" si="47"/>
        <v>1262571091.1100001</v>
      </c>
      <c r="Z118" s="140">
        <f t="shared" si="47"/>
        <v>275992430224.01</v>
      </c>
      <c r="AA118" s="140">
        <f t="shared" si="47"/>
        <v>113214060025.28</v>
      </c>
      <c r="AB118" s="140">
        <f t="shared" si="47"/>
        <v>282583207628.91</v>
      </c>
      <c r="AC118" s="140">
        <f t="shared" si="47"/>
        <v>72438484728.79</v>
      </c>
      <c r="AD118" s="140">
        <f t="shared" si="47"/>
        <v>0</v>
      </c>
      <c r="AE118" s="140">
        <f t="shared" si="47"/>
        <v>0</v>
      </c>
      <c r="AF118" s="140">
        <f t="shared" si="47"/>
        <v>0</v>
      </c>
      <c r="AG118" s="140">
        <f t="shared" si="47"/>
        <v>0</v>
      </c>
      <c r="AH118" s="140">
        <f t="shared" si="47"/>
        <v>0</v>
      </c>
      <c r="AI118" s="140">
        <f t="shared" si="47"/>
        <v>0</v>
      </c>
      <c r="AJ118" s="140">
        <f t="shared" si="47"/>
        <v>0</v>
      </c>
      <c r="AK118" s="140">
        <f t="shared" si="47"/>
        <v>745558642025.9</v>
      </c>
      <c r="AL118" s="140">
        <f t="shared" si="47"/>
        <v>1258882662.1100001</v>
      </c>
      <c r="AM118" s="140">
        <f t="shared" si="47"/>
        <v>275504774780.01</v>
      </c>
      <c r="AN118" s="140">
        <f t="shared" si="47"/>
        <v>113581238636.9</v>
      </c>
      <c r="AO118" s="140">
        <f t="shared" si="47"/>
        <v>282499186107.29</v>
      </c>
      <c r="AP118" s="140">
        <f t="shared" si="47"/>
        <v>72233661785.79</v>
      </c>
      <c r="AQ118" s="140">
        <f t="shared" si="47"/>
        <v>0</v>
      </c>
      <c r="AR118" s="140">
        <f t="shared" si="47"/>
        <v>0</v>
      </c>
      <c r="AS118" s="140">
        <f t="shared" si="47"/>
        <v>0</v>
      </c>
      <c r="AT118" s="140">
        <f t="shared" si="47"/>
        <v>0</v>
      </c>
      <c r="AU118" s="140">
        <f t="shared" si="47"/>
        <v>0</v>
      </c>
      <c r="AV118" s="140">
        <f t="shared" si="47"/>
        <v>0</v>
      </c>
      <c r="AW118" s="140">
        <f t="shared" si="47"/>
        <v>0</v>
      </c>
      <c r="AX118" s="208">
        <f t="shared" si="47"/>
        <v>745077743972.1</v>
      </c>
      <c r="AY118" s="208">
        <f t="shared" si="47"/>
        <v>1714323874058.31</v>
      </c>
      <c r="AZ118" s="241">
        <f t="shared" si="47"/>
        <v>0</v>
      </c>
      <c r="BA118" s="241">
        <f t="shared" si="47"/>
        <v>0</v>
      </c>
      <c r="BB118" s="255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</row>
    <row r="119" spans="1:54" s="7" customFormat="1" ht="30" customHeight="1">
      <c r="A119" s="216"/>
      <c r="B119" s="217"/>
      <c r="C119" s="217"/>
      <c r="D119" s="217"/>
      <c r="E119" s="217"/>
      <c r="F119" s="217"/>
      <c r="G119" s="217"/>
      <c r="H119" s="217"/>
      <c r="I119" s="217"/>
      <c r="J119" s="217"/>
      <c r="K119" s="218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50">
        <f>+X118/K118</f>
        <v>0.350086272994459</v>
      </c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50">
        <f>+AK118/K118</f>
        <v>0.28264717249324234</v>
      </c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49"/>
      <c r="AY119" s="217"/>
      <c r="BB119" s="251"/>
    </row>
    <row r="120" spans="1:51" s="7" customFormat="1" ht="30" customHeight="1">
      <c r="A120" s="221"/>
      <c r="B120" s="217"/>
      <c r="C120" s="217"/>
      <c r="D120" s="217"/>
      <c r="E120" s="217"/>
      <c r="F120" s="217"/>
      <c r="G120" s="217"/>
      <c r="H120" s="217"/>
      <c r="I120" s="217"/>
      <c r="J120" s="217"/>
      <c r="K120" s="222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28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9"/>
      <c r="AY120" s="217"/>
    </row>
    <row r="121" spans="1:51" s="7" customFormat="1" ht="30" customHeight="1">
      <c r="A121" s="221"/>
      <c r="B121" s="217"/>
      <c r="C121" s="217"/>
      <c r="D121" s="217"/>
      <c r="E121" s="217"/>
      <c r="F121" s="217"/>
      <c r="G121" s="217"/>
      <c r="H121" s="217"/>
      <c r="I121" s="217"/>
      <c r="J121" s="217"/>
      <c r="K121" s="222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103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103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103"/>
      <c r="AY121" s="217"/>
    </row>
    <row r="122" spans="1:51" s="7" customFormat="1" ht="30" customHeight="1" thickBot="1">
      <c r="A122" s="223"/>
      <c r="B122" s="224"/>
      <c r="C122" s="224"/>
      <c r="D122" s="224"/>
      <c r="E122" s="224"/>
      <c r="F122" s="224"/>
      <c r="G122" s="224"/>
      <c r="H122" s="224"/>
      <c r="I122" s="224"/>
      <c r="J122" s="224"/>
      <c r="K122" s="225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6"/>
      <c r="AY122" s="224"/>
    </row>
    <row r="123" spans="1:50" s="7" customFormat="1" ht="30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 s="117"/>
    </row>
    <row r="124" spans="1:51" s="7" customFormat="1" ht="30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117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 s="117"/>
      <c r="AY124" s="118"/>
    </row>
    <row r="125" spans="1:50" s="7" customFormat="1" ht="30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117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 s="117"/>
    </row>
    <row r="126" spans="1:50" s="7" customFormat="1" ht="30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117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 s="117"/>
    </row>
    <row r="127" spans="1:50" s="7" customFormat="1" ht="30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 s="117"/>
    </row>
    <row r="128" spans="1:50" s="7" customFormat="1" ht="30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 s="117"/>
    </row>
    <row r="129" spans="1:50" s="7" customFormat="1" ht="30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 s="117"/>
    </row>
    <row r="130" spans="1:50" s="7" customFormat="1" ht="30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 s="117"/>
    </row>
    <row r="131" spans="1:50" s="7" customFormat="1" ht="30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 s="117"/>
    </row>
    <row r="132" spans="1:50" s="7" customFormat="1" ht="30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 s="117"/>
    </row>
    <row r="133" spans="1:50" s="7" customFormat="1" ht="30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 s="117"/>
    </row>
    <row r="134" spans="1:50" s="7" customFormat="1" ht="30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 s="117"/>
    </row>
    <row r="135" spans="1:50" s="7" customFormat="1" ht="30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 s="117"/>
    </row>
    <row r="136" spans="1:50" s="7" customFormat="1" ht="30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 s="117"/>
    </row>
    <row r="137" spans="1:50" s="7" customFormat="1" ht="30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 s="117"/>
    </row>
    <row r="138" spans="1:50" s="7" customFormat="1" ht="30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 s="117"/>
    </row>
    <row r="139" spans="1:50" s="7" customFormat="1" ht="30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 s="117"/>
    </row>
    <row r="140" spans="1:50" s="7" customFormat="1" ht="30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 s="117"/>
    </row>
    <row r="141" spans="1:50" s="7" customFormat="1" ht="30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 s="117"/>
    </row>
    <row r="142" spans="1:50" s="7" customFormat="1" ht="30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 s="117"/>
    </row>
    <row r="143" spans="1:50" s="7" customFormat="1" ht="30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 s="117"/>
    </row>
    <row r="144" spans="1:50" s="7" customFormat="1" ht="30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 s="117"/>
    </row>
    <row r="145" spans="1:50" s="7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 s="117"/>
    </row>
    <row r="146" spans="1:50" s="7" customFormat="1" ht="30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 s="117"/>
    </row>
    <row r="147" spans="1:50" s="7" customFormat="1" ht="30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 s="117"/>
    </row>
    <row r="148" spans="1:50" s="7" customFormat="1" ht="30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 s="117"/>
    </row>
    <row r="149" spans="1:50" s="7" customFormat="1" ht="30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 s="117"/>
    </row>
    <row r="150" spans="1:50" s="7" customFormat="1" ht="30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 s="117"/>
    </row>
    <row r="151" spans="1:50" s="7" customFormat="1" ht="30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 s="117"/>
    </row>
    <row r="152" spans="1:50" s="7" customFormat="1" ht="30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 s="117"/>
    </row>
    <row r="153" spans="1:50" s="7" customFormat="1" ht="30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 s="117"/>
    </row>
    <row r="154" spans="1:50" s="7" customFormat="1" ht="30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 s="117"/>
    </row>
    <row r="155" spans="1:50" s="7" customFormat="1" ht="30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 s="117"/>
    </row>
    <row r="156" spans="1:50" s="7" customFormat="1" ht="30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 s="117"/>
    </row>
    <row r="157" spans="1:50" s="7" customFormat="1" ht="30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 s="117"/>
    </row>
    <row r="158" spans="1:50" s="7" customFormat="1" ht="30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 s="117"/>
    </row>
    <row r="159" spans="1:50" s="7" customFormat="1" ht="30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 s="117"/>
    </row>
    <row r="160" spans="1:50" s="7" customFormat="1" ht="30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 s="117"/>
    </row>
    <row r="161" spans="1:50" s="7" customFormat="1" ht="30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 s="117"/>
    </row>
    <row r="162" spans="1:50" s="7" customFormat="1" ht="30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 s="117"/>
    </row>
    <row r="163" spans="1:50" s="7" customFormat="1" ht="30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 s="117"/>
    </row>
    <row r="164" spans="1:50" s="7" customFormat="1" ht="30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 s="117"/>
    </row>
    <row r="165" spans="1:50" s="7" customFormat="1" ht="30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 s="117"/>
    </row>
    <row r="166" spans="1:50" s="7" customFormat="1" ht="30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 s="117"/>
    </row>
    <row r="167" spans="1:50" s="7" customFormat="1" ht="30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 s="117"/>
    </row>
    <row r="168" spans="1:50" s="7" customFormat="1" ht="30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 s="117"/>
    </row>
    <row r="169" spans="1:50" s="7" customFormat="1" ht="30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 s="117"/>
    </row>
    <row r="170" spans="1:50" s="7" customFormat="1" ht="30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 s="117"/>
    </row>
    <row r="171" spans="1:50" s="7" customFormat="1" ht="30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 s="117"/>
    </row>
    <row r="172" spans="1:50" s="7" customFormat="1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 s="117"/>
    </row>
    <row r="173" spans="1:50" s="7" customFormat="1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 s="117"/>
    </row>
    <row r="174" spans="1:50" s="7" customFormat="1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 s="117"/>
    </row>
    <row r="175" spans="1:50" s="7" customFormat="1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 s="117"/>
    </row>
    <row r="176" spans="1:50" s="7" customFormat="1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 s="117"/>
    </row>
    <row r="177" spans="1:50" s="7" customFormat="1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 s="117"/>
    </row>
    <row r="178" spans="1:50" s="7" customFormat="1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 s="117"/>
    </row>
    <row r="179" spans="1:50" s="7" customFormat="1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 s="117"/>
    </row>
    <row r="180" spans="1:50" s="7" customFormat="1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 s="117"/>
    </row>
    <row r="181" spans="1:50" s="7" customFormat="1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 s="117"/>
    </row>
    <row r="182" spans="1:50" s="7" customFormat="1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 s="117"/>
    </row>
    <row r="183" spans="1:50" s="7" customFormat="1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 s="117"/>
    </row>
    <row r="184" spans="1:50" s="7" customFormat="1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 s="117"/>
    </row>
    <row r="185" spans="1:50" s="7" customFormat="1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 s="117"/>
    </row>
    <row r="186" spans="1:50" s="7" customFormat="1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 s="117"/>
    </row>
    <row r="187" spans="1:50" s="7" customFormat="1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 s="117"/>
    </row>
    <row r="188" spans="1:50" s="7" customFormat="1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 s="117"/>
    </row>
    <row r="189" spans="1:50" s="7" customFormat="1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 s="117"/>
    </row>
    <row r="190" spans="1:50" s="7" customFormat="1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 s="117"/>
    </row>
    <row r="191" spans="1:50" s="7" customFormat="1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 s="117"/>
    </row>
    <row r="192" spans="1:50" s="7" customFormat="1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 s="117"/>
    </row>
    <row r="193" spans="1:50" s="7" customFormat="1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 s="117"/>
    </row>
    <row r="194" spans="1:50" s="7" customFormat="1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 s="117"/>
    </row>
    <row r="195" spans="1:50" s="7" customFormat="1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 s="117"/>
    </row>
    <row r="196" spans="1:50" s="7" customFormat="1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 s="117"/>
    </row>
    <row r="197" spans="1:50" s="7" customFormat="1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 s="117"/>
    </row>
    <row r="198" spans="1:50" s="7" customFormat="1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 s="117"/>
    </row>
    <row r="199" spans="1:50" s="7" customFormat="1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 s="117"/>
    </row>
    <row r="200" spans="1:50" s="7" customFormat="1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 s="117"/>
    </row>
    <row r="201" spans="1:50" s="7" customFormat="1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 s="117"/>
    </row>
    <row r="202" spans="1:50" s="7" customFormat="1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 s="117"/>
    </row>
    <row r="203" spans="1:50" s="7" customFormat="1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 s="117"/>
    </row>
    <row r="204" spans="1:50" s="7" customFormat="1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 s="117"/>
    </row>
    <row r="205" spans="1:50" s="7" customFormat="1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 s="117"/>
    </row>
    <row r="206" spans="1:50" s="7" customFormat="1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 s="117"/>
    </row>
    <row r="207" spans="1:50" s="7" customFormat="1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 s="117"/>
    </row>
    <row r="208" spans="1:50" s="7" customFormat="1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 s="117"/>
    </row>
    <row r="209" spans="1:50" s="7" customFormat="1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 s="117"/>
    </row>
    <row r="210" spans="1:50" s="7" customFormat="1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 s="117"/>
    </row>
    <row r="211" spans="1:50" s="7" customFormat="1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 s="117"/>
    </row>
    <row r="212" spans="1:50" s="7" customFormat="1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 s="117"/>
    </row>
    <row r="213" spans="1:50" s="7" customFormat="1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 s="117"/>
    </row>
    <row r="214" spans="1:50" s="7" customFormat="1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 s="117"/>
    </row>
    <row r="215" spans="1:50" s="7" customFormat="1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 s="117"/>
    </row>
    <row r="216" spans="1:50" s="7" customFormat="1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 s="117"/>
    </row>
    <row r="217" spans="1:50" s="7" customFormat="1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 s="117"/>
    </row>
    <row r="218" spans="1:50" s="7" customFormat="1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 s="117"/>
    </row>
    <row r="219" spans="1:50" s="7" customFormat="1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 s="117"/>
    </row>
    <row r="220" spans="1:50" s="7" customFormat="1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 s="117"/>
    </row>
    <row r="221" spans="1:50" s="7" customFormat="1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 s="117"/>
    </row>
    <row r="222" spans="1:50" s="7" customFormat="1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 s="117"/>
    </row>
    <row r="223" spans="1:50" s="7" customFormat="1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 s="117"/>
    </row>
    <row r="224" spans="1:50" s="7" customFormat="1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 s="117"/>
    </row>
    <row r="225" spans="1:50" s="7" customFormat="1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 s="117"/>
    </row>
    <row r="226" spans="1:50" s="7" customFormat="1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 s="117"/>
    </row>
    <row r="227" spans="1:50" s="7" customFormat="1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 s="117"/>
    </row>
    <row r="228" spans="1:50" s="7" customFormat="1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 s="117"/>
    </row>
    <row r="229" spans="1:50" s="7" customFormat="1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 s="117"/>
    </row>
    <row r="230" spans="1:50" s="7" customFormat="1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 s="117"/>
    </row>
    <row r="231" spans="1:50" s="7" customFormat="1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 s="117"/>
    </row>
    <row r="232" spans="1:50" s="7" customFormat="1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 s="117"/>
    </row>
    <row r="233" spans="1:50" s="7" customFormat="1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 s="117"/>
    </row>
    <row r="234" spans="1:50" s="7" customFormat="1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 s="117"/>
    </row>
    <row r="235" spans="1:50" s="7" customFormat="1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 s="117"/>
    </row>
    <row r="236" spans="1:50" s="7" customFormat="1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 s="117"/>
    </row>
    <row r="237" spans="1:50" s="7" customFormat="1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 s="117"/>
    </row>
    <row r="238" spans="1:50" s="7" customFormat="1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 s="117"/>
    </row>
    <row r="239" spans="1:50" s="7" customFormat="1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 s="117"/>
    </row>
    <row r="240" spans="1:50" s="7" customFormat="1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 s="117"/>
    </row>
    <row r="241" spans="1:50" s="7" customFormat="1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 s="117"/>
    </row>
    <row r="242" spans="1:50" s="7" customFormat="1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 s="117"/>
    </row>
    <row r="243" spans="1:50" s="7" customFormat="1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 s="117"/>
    </row>
    <row r="244" spans="1:50" s="7" customFormat="1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 s="117"/>
    </row>
    <row r="245" spans="1:50" s="7" customFormat="1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 s="117"/>
    </row>
    <row r="246" spans="1:50" s="7" customFormat="1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 s="117"/>
    </row>
    <row r="247" spans="1:50" s="7" customFormat="1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 s="117"/>
    </row>
    <row r="248" spans="1:50" s="7" customFormat="1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 s="117"/>
    </row>
    <row r="249" spans="1:50" s="7" customFormat="1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 s="117"/>
    </row>
    <row r="250" spans="1:50" s="7" customFormat="1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 s="117"/>
    </row>
    <row r="251" spans="1:50" s="7" customFormat="1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 s="117"/>
    </row>
    <row r="252" spans="1:50" s="7" customFormat="1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 s="117"/>
    </row>
    <row r="253" spans="1:50" s="7" customFormat="1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 s="117"/>
    </row>
    <row r="254" spans="1:50" s="7" customFormat="1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 s="117"/>
    </row>
    <row r="255" spans="1:50" s="7" customFormat="1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 s="117"/>
    </row>
    <row r="256" spans="1:50" s="7" customFormat="1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 s="117"/>
    </row>
    <row r="257" spans="1:50" s="7" customFormat="1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 s="117"/>
    </row>
    <row r="258" spans="1:50" s="7" customFormat="1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 s="117"/>
    </row>
    <row r="259" spans="1:50" s="7" customFormat="1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 s="117"/>
    </row>
    <row r="260" spans="1:50" s="7" customFormat="1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 s="117"/>
    </row>
    <row r="261" spans="1:50" s="7" customFormat="1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 s="117"/>
    </row>
    <row r="262" spans="1:50" s="7" customFormat="1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 s="117"/>
    </row>
    <row r="263" spans="1:50" s="7" customFormat="1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 s="117"/>
    </row>
    <row r="264" spans="1:50" s="7" customFormat="1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 s="117"/>
    </row>
    <row r="265" spans="1:50" s="7" customFormat="1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 s="117"/>
    </row>
    <row r="266" spans="1:50" s="7" customFormat="1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 s="117"/>
    </row>
    <row r="267" spans="1:50" s="7" customFormat="1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 s="117"/>
    </row>
    <row r="268" spans="1:50" s="7" customFormat="1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 s="117"/>
    </row>
    <row r="269" spans="1:50" s="7" customFormat="1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 s="117"/>
    </row>
    <row r="270" spans="1:50" s="7" customFormat="1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 s="117"/>
    </row>
    <row r="271" spans="1:50" s="7" customFormat="1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 s="117"/>
    </row>
    <row r="272" spans="1:50" s="7" customFormat="1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</row>
    <row r="273" spans="1:50" s="7" customFormat="1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</row>
    <row r="274" spans="1:50" s="7" customFormat="1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</row>
    <row r="275" spans="1:50" s="7" customFormat="1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</row>
    <row r="276" spans="1:50" s="7" customFormat="1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</row>
    <row r="277" spans="1:50" s="7" customFormat="1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</row>
    <row r="278" spans="1:50" s="7" customFormat="1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</row>
    <row r="279" spans="1:50" s="7" customFormat="1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</row>
    <row r="280" spans="1:50" s="7" customFormat="1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</row>
    <row r="281" spans="1:50" s="7" customFormat="1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</row>
    <row r="282" spans="1:50" s="7" customFormat="1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</row>
    <row r="283" spans="1:50" s="7" customFormat="1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</row>
    <row r="284" spans="1:50" s="7" customFormat="1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</row>
    <row r="285" spans="1:50" s="7" customFormat="1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</row>
    <row r="286" spans="1:50" s="7" customFormat="1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1:50" s="7" customFormat="1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1:50" s="7" customFormat="1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1:50" s="7" customFormat="1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1:50" s="7" customFormat="1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1:50" s="7" customFormat="1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1:50" s="7" customFormat="1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1:50" s="7" customFormat="1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1:50" s="7" customFormat="1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1:50" s="7" customFormat="1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1:50" s="7" customFormat="1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1:50" s="7" customFormat="1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1:50" s="7" customFormat="1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1:50" s="7" customFormat="1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1:50" s="7" customFormat="1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1:50" s="7" customFormat="1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1:50" s="7" customFormat="1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1:50" s="7" customFormat="1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1:50" s="7" customFormat="1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1:50" s="7" customFormat="1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1:50" s="7" customFormat="1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1:50" s="7" customFormat="1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1:50" s="7" customFormat="1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1:50" s="7" customFormat="1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1:50" s="7" customFormat="1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1:50" s="7" customFormat="1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1:50" s="7" customFormat="1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1:50" s="7" customFormat="1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1:50" s="7" customFormat="1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1:50" s="7" customFormat="1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1:50" s="7" customFormat="1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1:50" s="7" customFormat="1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1:50" s="7" customFormat="1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1:50" s="7" customFormat="1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1:50" s="7" customFormat="1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1:50" s="7" customFormat="1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1:50" s="7" customFormat="1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1:50" s="7" customFormat="1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1:50" s="7" customFormat="1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1:50" s="7" customFormat="1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1:50" s="7" customFormat="1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1:50" s="7" customFormat="1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1:50" s="7" customFormat="1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1:50" s="7" customFormat="1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1:50" s="7" customFormat="1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1:50" s="7" customFormat="1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1:50" s="7" customFormat="1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1:50" s="7" customFormat="1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1:50" s="7" customFormat="1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1:50" s="7" customFormat="1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1:50" s="7" customFormat="1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1:50" s="7" customFormat="1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1:50" s="7" customFormat="1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1:50" s="7" customFormat="1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1:50" s="7" customFormat="1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1:50" s="7" customFormat="1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1:50" s="7" customFormat="1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1:50" s="7" customFormat="1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1:50" s="7" customFormat="1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1:50" s="7" customFormat="1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1:50" s="7" customFormat="1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1:50" s="7" customFormat="1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1:50" s="7" customFormat="1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1:50" s="7" customFormat="1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1:50" s="7" customFormat="1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1:50" s="7" customFormat="1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1:50" s="7" customFormat="1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1:50" s="7" customFormat="1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1:50" s="7" customFormat="1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1:50" s="7" customFormat="1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1:50" s="7" customFormat="1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1:50" s="7" customFormat="1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1:50" s="7" customFormat="1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1:50" s="7" customFormat="1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1:50" s="7" customFormat="1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1:50" s="7" customFormat="1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1:50" s="7" customFormat="1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1:50" s="7" customFormat="1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1:50" s="7" customFormat="1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1:50" s="7" customFormat="1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1:50" s="7" customFormat="1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1:50" s="7" customFormat="1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1:50" s="7" customFormat="1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1:50" s="7" customFormat="1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1:50" s="7" customFormat="1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1:50" s="7" customFormat="1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1:50" s="7" customFormat="1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1:50" s="7" customFormat="1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1:50" s="7" customFormat="1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1:50" s="7" customFormat="1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1:50" s="7" customFormat="1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1:50" s="7" customFormat="1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1:50" s="7" customFormat="1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1:50" s="7" customFormat="1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1:50" s="7" customFormat="1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1:50" s="7" customFormat="1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1:50" s="7" customFormat="1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1:50" s="7" customFormat="1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1:50" s="7" customFormat="1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1:50" s="7" customFormat="1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1:50" s="7" customFormat="1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1:50" s="7" customFormat="1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1:50" s="7" customFormat="1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1:50" s="7" customFormat="1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1:50" s="7" customFormat="1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1:50" s="7" customFormat="1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1:50" s="7" customFormat="1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1:50" s="7" customFormat="1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1:50" s="7" customFormat="1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1:50" s="7" customFormat="1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1:50" s="7" customFormat="1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1:50" s="7" customFormat="1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1:50" s="7" customFormat="1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1:50" s="7" customFormat="1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1:50" s="7" customFormat="1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1:50" s="7" customFormat="1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1:50" s="7" customFormat="1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1:50" s="7" customFormat="1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1:50" s="7" customFormat="1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1:50" s="7" customFormat="1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1:50" s="7" customFormat="1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1:50" s="7" customFormat="1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1:50" s="7" customFormat="1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1:50" s="7" customFormat="1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1:50" s="7" customFormat="1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1:50" s="7" customFormat="1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1:50" s="7" customFormat="1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1:50" s="7" customFormat="1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1:50" s="7" customFormat="1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1:50" s="7" customFormat="1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1:50" s="7" customFormat="1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1:50" s="7" customFormat="1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1:50" s="7" customFormat="1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1:50" s="7" customFormat="1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1:50" s="7" customFormat="1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1:50" s="7" customFormat="1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1:50" s="7" customFormat="1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1:50" s="7" customFormat="1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1:50" s="7" customFormat="1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1:50" s="7" customFormat="1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1:50" s="7" customFormat="1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1:50" s="7" customFormat="1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1:50" s="7" customFormat="1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1:50" s="7" customFormat="1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1:50" s="7" customFormat="1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1:50" s="7" customFormat="1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1:50" s="7" customFormat="1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1:50" s="7" customFormat="1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1:50" s="7" customFormat="1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1:50" s="7" customFormat="1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1:50" s="7" customFormat="1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1:50" s="7" customFormat="1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1:50" s="7" customFormat="1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1:50" s="7" customFormat="1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1:50" s="7" customFormat="1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1:50" s="7" customFormat="1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1:50" s="7" customFormat="1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1:50" s="7" customFormat="1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1:50" s="7" customFormat="1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1:50" s="7" customFormat="1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1:50" s="7" customFormat="1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1:50" s="7" customFormat="1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1:50" s="7" customFormat="1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1:50" s="7" customFormat="1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1:50" s="7" customFormat="1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1:50" s="7" customFormat="1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1:50" s="7" customFormat="1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1:50" s="7" customFormat="1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1:50" s="7" customFormat="1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1:50" s="7" customFormat="1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1:50" s="7" customFormat="1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1:50" s="7" customFormat="1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1:50" s="7" customFormat="1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1:50" s="7" customFormat="1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1:50" s="7" customFormat="1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1:50" s="7" customFormat="1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1:50" s="7" customFormat="1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1:50" s="7" customFormat="1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1:50" s="7" customFormat="1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1:50" s="7" customFormat="1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1:50" s="7" customFormat="1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1:50" s="7" customFormat="1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1:50" s="7" customFormat="1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1:50" s="7" customFormat="1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1:50" s="7" customFormat="1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1:50" s="7" customFormat="1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1:50" s="7" customFormat="1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1:50" s="7" customFormat="1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1:50" s="7" customFormat="1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1:50" s="7" customFormat="1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1:50" s="7" customFormat="1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1:50" s="7" customFormat="1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1:50" s="7" customFormat="1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1:50" s="7" customFormat="1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1:50" s="7" customFormat="1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1:50" s="7" customFormat="1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1:50" s="7" customFormat="1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1:50" s="7" customFormat="1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1:50" s="7" customFormat="1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1:50" s="7" customFormat="1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1:50" s="7" customFormat="1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1:50" s="7" customFormat="1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1:50" s="7" customFormat="1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1:50" s="7" customFormat="1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1:50" s="7" customFormat="1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1:50" s="7" customFormat="1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1:50" s="7" customFormat="1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1:50" s="7" customFormat="1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1:50" s="7" customFormat="1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1:50" s="7" customFormat="1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1:50" s="7" customFormat="1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1:50" s="7" customFormat="1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1:50" s="7" customFormat="1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1:50" s="7" customFormat="1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1:50" s="7" customFormat="1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1:50" s="7" customFormat="1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1:50" s="7" customFormat="1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1:50" s="7" customFormat="1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1:50" s="7" customFormat="1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1:50" s="7" customFormat="1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1:50" s="7" customFormat="1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1:50" s="7" customFormat="1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1:50" s="7" customFormat="1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1:50" s="7" customFormat="1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1:50" s="7" customFormat="1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1:50" s="7" customFormat="1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1:50" s="7" customFormat="1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1:50" s="7" customFormat="1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1:50" s="7" customFormat="1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1:50" s="7" customFormat="1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1:50" s="7" customFormat="1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1:50" s="7" customFormat="1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1:50" s="7" customFormat="1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1:50" s="7" customFormat="1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1:50" s="7" customFormat="1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1:50" s="7" customFormat="1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1:50" s="7" customFormat="1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1:50" s="7" customFormat="1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1:50" s="7" customFormat="1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1:50" s="7" customFormat="1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1:50" s="7" customFormat="1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1:50" s="7" customFormat="1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1:50" s="7" customFormat="1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1:50" s="7" customFormat="1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1:50" s="7" customFormat="1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1:50" s="7" customFormat="1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1:50" s="7" customFormat="1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1:50" s="7" customFormat="1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1:50" s="7" customFormat="1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1:50" s="7" customFormat="1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1:50" s="7" customFormat="1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1:50" s="7" customFormat="1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1:50" s="7" customFormat="1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1:50" s="7" customFormat="1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1:50" s="7" customFormat="1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1:50" s="7" customFormat="1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1:50" s="7" customFormat="1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1:50" s="7" customFormat="1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1:50" s="7" customFormat="1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1:50" s="7" customFormat="1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1:50" s="7" customFormat="1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1:50" s="7" customFormat="1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1:50" s="7" customFormat="1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1:50" s="7" customFormat="1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1:50" s="7" customFormat="1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1:50" s="7" customFormat="1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1:50" s="7" customFormat="1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1:50" s="7" customFormat="1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1:50" s="7" customFormat="1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1:50" s="7" customFormat="1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1:50" s="7" customFormat="1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1:50" s="7" customFormat="1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1:50" s="7" customFormat="1" ht="1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1:50" s="7" customFormat="1" ht="1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1:50" s="7" customFormat="1" ht="1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1:50" s="7" customFormat="1" ht="1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1:50" s="7" customFormat="1" ht="1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1:50" s="7" customFormat="1" ht="1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1:50" s="7" customFormat="1" ht="1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1:50" s="7" customFormat="1" ht="1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1:50" s="7" customFormat="1" ht="1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1:50" s="7" customFormat="1" ht="1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1:50" s="7" customFormat="1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1:50" s="7" customFormat="1" ht="1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1:50" s="7" customFormat="1" ht="1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1:50" s="7" customFormat="1" ht="1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1:50" s="7" customFormat="1" ht="1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1:50" s="7" customFormat="1" ht="1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1:50" s="7" customFormat="1" ht="1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1:50" s="7" customFormat="1" ht="1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1:50" s="7" customFormat="1" ht="1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1:50" s="7" customFormat="1" ht="1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1:50" s="7" customFormat="1" ht="1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1:50" s="7" customFormat="1" ht="1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1:50" s="7" customFormat="1" ht="1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1:50" s="7" customFormat="1" ht="1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1:50" s="7" customFormat="1" ht="1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1:50" s="7" customFormat="1" ht="1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1:50" s="7" customFormat="1" ht="1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1:50" s="7" customFormat="1" ht="1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</row>
    <row r="586" spans="1:50" s="7" customFormat="1" ht="1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</row>
    <row r="587" spans="1:50" s="7" customFormat="1" ht="1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</row>
    <row r="588" spans="1:50" s="7" customFormat="1" ht="1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89" spans="1:50" s="7" customFormat="1" ht="1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</row>
    <row r="590" spans="1:50" s="7" customFormat="1" ht="1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</row>
    <row r="591" spans="1:50" s="7" customFormat="1" ht="1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</row>
    <row r="592" spans="1:50" s="7" customFormat="1" ht="1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</row>
    <row r="593" spans="1:50" s="7" customFormat="1" ht="1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</row>
    <row r="594" spans="1:50" s="7" customFormat="1" ht="1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</row>
    <row r="595" spans="1:50" s="7" customFormat="1" ht="1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</row>
    <row r="596" spans="1:50" s="7" customFormat="1" ht="1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</row>
    <row r="597" spans="1:50" s="7" customFormat="1" ht="1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</row>
    <row r="598" spans="1:50" s="7" customFormat="1" ht="1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</row>
    <row r="599" spans="1:50" s="7" customFormat="1" ht="1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</row>
    <row r="600" spans="1:50" s="7" customFormat="1" ht="1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</row>
    <row r="601" spans="1:50" s="7" customFormat="1" ht="1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</row>
    <row r="602" spans="1:50" s="7" customFormat="1" ht="1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</row>
    <row r="603" spans="1:50" s="7" customFormat="1" ht="1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</row>
    <row r="604" spans="1:50" s="7" customFormat="1" ht="1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</row>
    <row r="605" spans="1:50" s="7" customFormat="1" ht="1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</row>
    <row r="606" spans="1:50" s="7" customFormat="1" ht="1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</row>
    <row r="607" spans="1:50" s="7" customFormat="1" ht="1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</row>
    <row r="608" spans="1:50" s="7" customFormat="1" ht="1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</row>
    <row r="609" spans="1:50" s="7" customFormat="1" ht="1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</row>
    <row r="610" spans="1:50" s="7" customFormat="1" ht="1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</row>
    <row r="611" spans="1:50" s="7" customFormat="1" ht="1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</row>
    <row r="612" spans="1:50" s="7" customFormat="1" ht="1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</row>
    <row r="613" spans="1:50" s="7" customFormat="1" ht="1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</row>
    <row r="614" spans="1:50" s="7" customFormat="1" ht="1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</row>
    <row r="615" spans="1:50" s="7" customFormat="1" ht="1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</row>
    <row r="616" spans="1:50" s="7" customFormat="1" ht="1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</row>
    <row r="617" spans="1:50" s="7" customFormat="1" ht="1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</row>
    <row r="618" spans="1:50" s="7" customFormat="1" ht="1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</row>
    <row r="619" spans="1:50" s="7" customFormat="1" ht="1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</row>
    <row r="620" spans="1:50" s="7" customFormat="1" ht="1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</row>
    <row r="621" spans="1:50" s="7" customFormat="1" ht="1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</row>
    <row r="622" spans="1:50" s="7" customFormat="1" ht="1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</row>
    <row r="623" spans="1:50" s="7" customFormat="1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</row>
    <row r="624" spans="1:50" s="7" customFormat="1" ht="1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</row>
    <row r="625" spans="1:50" s="7" customFormat="1" ht="1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</row>
    <row r="626" spans="1:50" s="7" customFormat="1" ht="1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</row>
    <row r="627" spans="1:50" s="7" customFormat="1" ht="1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</row>
    <row r="628" spans="1:50" s="7" customFormat="1" ht="1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</row>
    <row r="629" spans="1:50" s="7" customFormat="1" ht="1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</row>
    <row r="630" spans="1:50" s="7" customFormat="1" ht="1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</row>
    <row r="631" spans="1:50" s="7" customFormat="1" ht="1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</row>
    <row r="632" spans="1:50" s="7" customFormat="1" ht="1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</row>
    <row r="633" spans="1:50" s="7" customFormat="1" ht="1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</row>
    <row r="634" spans="1:50" s="7" customFormat="1" ht="1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</row>
    <row r="635" spans="1:50" s="7" customFormat="1" ht="1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</row>
    <row r="636" spans="1:50" s="7" customFormat="1" ht="1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</row>
    <row r="637" spans="1:50" s="7" customFormat="1" ht="1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</row>
    <row r="638" spans="1:50" s="7" customFormat="1" ht="1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</row>
    <row r="639" spans="1:50" s="7" customFormat="1" ht="1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</row>
    <row r="640" spans="1:50" s="7" customFormat="1" ht="1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</row>
    <row r="641" spans="1:50" s="7" customFormat="1" ht="1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</row>
    <row r="642" spans="1:50" s="7" customFormat="1" ht="1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</row>
    <row r="643" spans="1:50" s="7" customFormat="1" ht="1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</row>
    <row r="644" spans="1:50" s="7" customFormat="1" ht="1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</row>
    <row r="645" spans="1:50" s="7" customFormat="1" ht="1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</row>
    <row r="646" spans="1:50" s="7" customFormat="1" ht="1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</row>
    <row r="647" spans="1:50" s="7" customFormat="1" ht="1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</row>
    <row r="648" spans="1:50" s="7" customFormat="1" ht="1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</row>
    <row r="649" spans="1:50" s="7" customFormat="1" ht="1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</row>
    <row r="650" spans="1:50" s="7" customFormat="1" ht="1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</row>
    <row r="651" spans="1:50" s="7" customFormat="1" ht="1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</row>
    <row r="652" spans="1:50" s="7" customFormat="1" ht="1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</row>
    <row r="653" spans="1:50" s="7" customFormat="1" ht="1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</row>
    <row r="654" spans="1:50" s="7" customFormat="1" ht="1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</row>
    <row r="655" spans="1:50" s="7" customFormat="1" ht="1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</row>
    <row r="656" spans="1:50" s="7" customFormat="1" ht="1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</row>
    <row r="657" spans="1:50" s="7" customFormat="1" ht="1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</row>
    <row r="658" spans="1:50" s="7" customFormat="1" ht="1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</row>
    <row r="659" spans="1:50" s="7" customFormat="1" ht="1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</row>
    <row r="660" spans="1:50" s="7" customFormat="1" ht="1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</row>
    <row r="661" spans="1:50" s="7" customFormat="1" ht="1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</row>
    <row r="662" spans="1:50" s="7" customFormat="1" ht="1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</row>
    <row r="663" spans="1:50" s="7" customFormat="1" ht="1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</row>
    <row r="664" spans="1:50" s="7" customFormat="1" ht="1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</row>
    <row r="665" spans="1:50" s="7" customFormat="1" ht="1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</row>
    <row r="666" spans="1:50" s="7" customFormat="1" ht="1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</row>
    <row r="667" spans="1:50" s="7" customFormat="1" ht="1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</row>
    <row r="668" spans="1:50" s="7" customFormat="1" ht="1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</row>
    <row r="669" spans="1:50" s="7" customFormat="1" ht="1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</row>
    <row r="670" spans="1:50" s="7" customFormat="1" ht="1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</row>
    <row r="671" spans="1:50" s="7" customFormat="1" ht="1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</row>
    <row r="672" spans="1:50" s="7" customFormat="1" ht="1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</row>
    <row r="673" spans="1:50" s="7" customFormat="1" ht="1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</row>
    <row r="674" spans="1:50" s="7" customFormat="1" ht="1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</row>
    <row r="675" spans="1:50" s="7" customFormat="1" ht="1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</row>
    <row r="676" spans="1:50" s="7" customFormat="1" ht="1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</row>
    <row r="677" spans="1:50" s="7" customFormat="1" ht="1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</row>
    <row r="678" spans="1:50" s="7" customFormat="1" ht="1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</row>
    <row r="679" spans="1:50" s="7" customFormat="1" ht="1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</row>
    <row r="680" spans="1:50" s="7" customFormat="1" ht="1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</row>
    <row r="681" spans="1:50" s="7" customFormat="1" ht="1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</row>
    <row r="682" spans="1:50" s="7" customFormat="1" ht="1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</row>
    <row r="683" spans="1:50" s="7" customFormat="1" ht="1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</row>
    <row r="684" spans="1:50" s="7" customFormat="1" ht="1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</row>
    <row r="685" spans="1:50" s="7" customFormat="1" ht="1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</row>
    <row r="686" spans="1:50" s="7" customFormat="1" ht="1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</row>
    <row r="687" spans="1:50" s="7" customFormat="1" ht="1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</row>
    <row r="688" spans="1:50" s="7" customFormat="1" ht="1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</row>
    <row r="689" spans="1:50" s="7" customFormat="1" ht="1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</row>
    <row r="690" spans="1:50" s="7" customFormat="1" ht="1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</row>
    <row r="691" spans="1:50" s="7" customFormat="1" ht="1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</row>
    <row r="692" spans="1:50" s="7" customFormat="1" ht="1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</row>
    <row r="693" spans="1:50" s="7" customFormat="1" ht="1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</row>
    <row r="694" spans="1:50" s="7" customFormat="1" ht="1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</row>
    <row r="695" spans="1:50" s="7" customFormat="1" ht="1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</row>
    <row r="696" spans="1:50" s="7" customFormat="1" ht="1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</row>
    <row r="697" spans="1:50" s="7" customFormat="1" ht="1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</row>
    <row r="698" spans="1:50" s="7" customFormat="1" ht="1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</row>
    <row r="699" spans="1:50" s="7" customFormat="1" ht="1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</row>
    <row r="700" spans="1:50" s="7" customFormat="1" ht="1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</row>
    <row r="701" spans="1:50" s="7" customFormat="1" ht="1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</row>
    <row r="702" spans="1:50" s="7" customFormat="1" ht="1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</row>
    <row r="703" spans="1:50" s="7" customFormat="1" ht="1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</row>
    <row r="704" spans="1:50" s="7" customFormat="1" ht="1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</row>
    <row r="705" spans="1:50" s="7" customFormat="1" ht="1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</row>
    <row r="706" spans="1:50" s="7" customFormat="1" ht="1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</row>
    <row r="707" spans="1:50" s="7" customFormat="1" ht="1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</row>
    <row r="708" spans="1:50" s="7" customFormat="1" ht="1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</row>
    <row r="709" spans="1:50" s="7" customFormat="1" ht="1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</row>
    <row r="710" spans="1:50" s="7" customFormat="1" ht="1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</row>
    <row r="711" spans="1:50" s="7" customFormat="1" ht="1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</row>
    <row r="712" spans="1:50" s="7" customFormat="1" ht="1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</row>
    <row r="713" spans="1:50" s="7" customFormat="1" ht="1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</row>
    <row r="714" spans="1:50" s="7" customFormat="1" ht="1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</row>
    <row r="715" spans="1:50" s="7" customFormat="1" ht="1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</row>
    <row r="716" spans="1:50" s="7" customFormat="1" ht="1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</row>
    <row r="717" spans="1:50" s="7" customFormat="1" ht="1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</row>
    <row r="718" spans="1:50" s="7" customFormat="1" ht="1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</row>
    <row r="719" spans="1:50" s="7" customFormat="1" ht="1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</row>
    <row r="720" spans="1:50" s="7" customFormat="1" ht="1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</row>
    <row r="721" spans="1:50" s="7" customFormat="1" ht="1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</row>
    <row r="722" spans="1:50" s="7" customFormat="1" ht="1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</row>
    <row r="723" spans="1:50" s="7" customFormat="1" ht="1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</row>
    <row r="724" spans="1:50" s="7" customFormat="1" ht="1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</row>
    <row r="725" spans="1:50" s="7" customFormat="1" ht="1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</row>
    <row r="726" spans="1:50" s="7" customFormat="1" ht="1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</row>
    <row r="727" spans="1:50" s="7" customFormat="1" ht="1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</row>
    <row r="728" spans="1:50" s="7" customFormat="1" ht="1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</row>
    <row r="729" spans="1:50" s="7" customFormat="1" ht="1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</row>
    <row r="730" spans="1:50" s="7" customFormat="1" ht="1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</row>
    <row r="731" spans="1:50" s="7" customFormat="1" ht="1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</row>
    <row r="732" spans="1:50" s="7" customFormat="1" ht="1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</row>
    <row r="733" spans="1:50" s="7" customFormat="1" ht="1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</row>
    <row r="734" spans="1:50" s="7" customFormat="1" ht="1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</row>
    <row r="735" spans="1:50" s="7" customFormat="1" ht="1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</row>
    <row r="736" spans="1:50" s="7" customFormat="1" ht="1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</row>
    <row r="737" spans="1:50" s="7" customFormat="1" ht="1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</row>
    <row r="738" spans="1:50" s="7" customFormat="1" ht="1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</row>
    <row r="739" spans="1:50" s="7" customFormat="1" ht="1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</row>
    <row r="740" spans="1:50" s="7" customFormat="1" ht="1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</row>
    <row r="741" spans="1:50" s="7" customFormat="1" ht="1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</row>
    <row r="742" spans="1:50" s="7" customFormat="1" ht="1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</row>
    <row r="743" spans="1:50" s="7" customFormat="1" ht="1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</row>
    <row r="744" spans="1:50" s="7" customFormat="1" ht="1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</row>
    <row r="745" spans="1:50" s="7" customFormat="1" ht="1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</row>
    <row r="746" spans="1:50" s="7" customFormat="1" ht="1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</row>
    <row r="747" spans="1:50" s="7" customFormat="1" ht="1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</row>
    <row r="748" spans="1:50" s="7" customFormat="1" ht="1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</row>
    <row r="749" spans="1:50" s="7" customFormat="1" ht="1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</row>
    <row r="750" spans="1:50" s="7" customFormat="1" ht="1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</row>
    <row r="751" spans="1:50" s="7" customFormat="1" ht="1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</row>
    <row r="752" spans="1:50" s="7" customFormat="1" ht="1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</row>
    <row r="753" spans="1:50" s="7" customFormat="1" ht="1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</row>
    <row r="754" spans="1:50" s="7" customFormat="1" ht="1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</row>
    <row r="755" spans="1:50" s="7" customFormat="1" ht="1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</row>
    <row r="756" spans="1:50" s="7" customFormat="1" ht="1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</row>
    <row r="757" spans="1:50" s="7" customFormat="1" ht="1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</row>
    <row r="758" spans="1:50" s="7" customFormat="1" ht="1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</row>
    <row r="759" spans="1:50" s="7" customFormat="1" ht="1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</row>
    <row r="760" spans="1:50" s="7" customFormat="1" ht="1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</row>
    <row r="761" spans="1:50" s="7" customFormat="1" ht="1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</row>
    <row r="762" spans="1:50" s="7" customFormat="1" ht="1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</row>
    <row r="763" spans="1:50" s="7" customFormat="1" ht="1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</row>
    <row r="764" spans="1:50" s="7" customFormat="1" ht="1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</row>
    <row r="765" spans="1:50" s="7" customFormat="1" ht="1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</row>
    <row r="766" spans="1:50" s="7" customFormat="1" ht="1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</row>
    <row r="767" spans="1:50" s="7" customFormat="1" ht="1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</row>
    <row r="768" spans="1:50" s="7" customFormat="1" ht="1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</row>
    <row r="769" spans="1:50" s="7" customFormat="1" ht="1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</row>
    <row r="770" spans="1:50" s="7" customFormat="1" ht="1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</row>
    <row r="771" spans="1:50" s="7" customFormat="1" ht="1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</row>
    <row r="772" spans="1:50" s="7" customFormat="1" ht="1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</row>
    <row r="773" spans="1:50" s="7" customFormat="1" ht="1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</row>
    <row r="774" spans="1:50" s="7" customFormat="1" ht="1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</row>
    <row r="775" spans="1:50" s="7" customFormat="1" ht="1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</row>
    <row r="776" spans="1:50" s="7" customFormat="1" ht="1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</row>
    <row r="777" spans="1:50" s="7" customFormat="1" ht="1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</row>
    <row r="778" spans="1:50" s="7" customFormat="1" ht="1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</row>
    <row r="779" spans="1:50" s="7" customFormat="1" ht="1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</row>
    <row r="780" spans="1:50" s="7" customFormat="1" ht="1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</row>
    <row r="781" spans="1:50" s="7" customFormat="1" ht="1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</row>
    <row r="782" spans="1:50" s="7" customFormat="1" ht="1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</row>
    <row r="783" spans="1:50" s="7" customFormat="1" ht="1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</row>
    <row r="784" spans="1:50" s="7" customFormat="1" ht="1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</row>
    <row r="785" spans="1:50" s="7" customFormat="1" ht="1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</row>
    <row r="786" spans="1:50" s="7" customFormat="1" ht="1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</row>
    <row r="787" spans="1:50" s="7" customFormat="1" ht="1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</row>
    <row r="788" spans="1:50" s="7" customFormat="1" ht="1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</row>
    <row r="789" spans="1:50" s="7" customFormat="1" ht="1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</row>
    <row r="790" spans="1:50" s="7" customFormat="1" ht="1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</row>
    <row r="791" spans="1:50" s="7" customFormat="1" ht="1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</row>
    <row r="792" spans="1:50" s="7" customFormat="1" ht="1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</row>
    <row r="793" spans="1:50" s="7" customFormat="1" ht="1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</row>
    <row r="794" spans="1:50" s="7" customFormat="1" ht="1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</row>
    <row r="795" spans="1:50" s="7" customFormat="1" ht="1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</row>
    <row r="796" spans="1:50" s="7" customFormat="1" ht="1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</row>
    <row r="797" spans="1:50" s="7" customFormat="1" ht="1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</row>
    <row r="798" spans="1:50" s="7" customFormat="1" ht="1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</row>
    <row r="799" spans="1:50" s="7" customFormat="1" ht="1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</row>
    <row r="800" spans="1:50" s="7" customFormat="1" ht="1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</row>
    <row r="801" spans="1:50" s="7" customFormat="1" ht="1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</row>
    <row r="802" spans="1:50" s="7" customFormat="1" ht="1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</row>
    <row r="803" spans="1:50" s="7" customFormat="1" ht="1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</row>
    <row r="804" spans="1:50" s="7" customFormat="1" ht="1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</row>
    <row r="805" spans="1:50" s="7" customFormat="1" ht="1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</row>
    <row r="806" spans="1:50" s="7" customFormat="1" ht="1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</row>
    <row r="807" spans="1:50" s="7" customFormat="1" ht="1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</row>
    <row r="808" spans="1:50" s="7" customFormat="1" ht="1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</row>
    <row r="809" spans="1:50" s="7" customFormat="1" ht="1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</row>
    <row r="810" spans="1:50" s="7" customFormat="1" ht="1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</row>
    <row r="811" spans="1:50" s="7" customFormat="1" ht="1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</row>
    <row r="812" spans="1:50" s="7" customFormat="1" ht="1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</row>
    <row r="813" spans="1:50" s="7" customFormat="1" ht="1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</row>
    <row r="814" spans="1:50" s="7" customFormat="1" ht="1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</row>
    <row r="815" spans="1:50" s="7" customFormat="1" ht="1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</row>
    <row r="816" spans="1:50" s="7" customFormat="1" ht="1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</row>
    <row r="817" spans="1:50" s="7" customFormat="1" ht="1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</row>
    <row r="818" spans="1:50" s="7" customFormat="1" ht="1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</row>
    <row r="819" spans="1:50" s="7" customFormat="1" ht="1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</row>
    <row r="820" spans="1:50" s="7" customFormat="1" ht="1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</row>
    <row r="821" spans="1:50" s="7" customFormat="1" ht="1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</row>
    <row r="822" spans="1:50" s="7" customFormat="1" ht="1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</row>
    <row r="823" spans="1:50" s="7" customFormat="1" ht="1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</row>
    <row r="824" spans="1:50" s="7" customFormat="1" ht="1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</row>
    <row r="825" spans="1:50" s="7" customFormat="1" ht="1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</row>
    <row r="826" spans="1:50" s="7" customFormat="1" ht="1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</row>
    <row r="827" spans="1:50" s="7" customFormat="1" ht="1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</row>
    <row r="828" spans="1:50" s="7" customFormat="1" ht="1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</row>
    <row r="829" spans="1:50" s="7" customFormat="1" ht="1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</row>
    <row r="830" spans="1:50" s="7" customFormat="1" ht="1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</row>
    <row r="831" spans="1:50" s="7" customFormat="1" ht="1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</row>
    <row r="832" spans="1:50" s="7" customFormat="1" ht="1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</row>
    <row r="833" spans="1:50" s="7" customFormat="1" ht="1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</row>
    <row r="834" spans="1:50" s="7" customFormat="1" ht="1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</row>
    <row r="835" spans="1:50" s="7" customFormat="1" ht="1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</row>
    <row r="836" spans="1:50" s="7" customFormat="1" ht="1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</row>
    <row r="837" spans="1:50" s="7" customFormat="1" ht="1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</row>
    <row r="838" spans="1:50" s="7" customFormat="1" ht="1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</row>
    <row r="839" spans="1:50" s="7" customFormat="1" ht="1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</row>
    <row r="840" spans="1:50" s="7" customFormat="1" ht="1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</row>
    <row r="841" spans="1:50" s="7" customFormat="1" ht="1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</row>
    <row r="842" spans="1:50" s="7" customFormat="1" ht="1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</row>
    <row r="843" spans="1:50" s="7" customFormat="1" ht="1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</row>
    <row r="844" spans="1:50" s="7" customFormat="1" ht="1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</row>
    <row r="845" spans="1:50" s="7" customFormat="1" ht="1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</row>
    <row r="846" spans="1:50" s="7" customFormat="1" ht="1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</row>
    <row r="847" spans="1:50" s="7" customFormat="1" ht="1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</row>
    <row r="848" spans="1:50" s="7" customFormat="1" ht="1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</row>
    <row r="849" spans="1:50" s="7" customFormat="1" ht="1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</row>
    <row r="850" spans="1:50" s="7" customFormat="1" ht="1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</row>
    <row r="851" spans="1:50" s="7" customFormat="1" ht="1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</row>
    <row r="852" spans="1:50" s="7" customFormat="1" ht="1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</row>
    <row r="853" spans="1:50" s="7" customFormat="1" ht="1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</row>
    <row r="854" spans="1:50" s="7" customFormat="1" ht="1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</row>
    <row r="855" spans="1:50" s="7" customFormat="1" ht="1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</row>
    <row r="856" spans="1:50" s="7" customFormat="1" ht="1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</row>
    <row r="857" spans="1:50" s="7" customFormat="1" ht="1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</row>
    <row r="858" spans="1:50" s="7" customFormat="1" ht="1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</row>
    <row r="859" spans="1:50" s="7" customFormat="1" ht="1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</row>
    <row r="860" spans="1:50" s="7" customFormat="1" ht="1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</row>
    <row r="861" spans="1:50" s="7" customFormat="1" ht="1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</row>
    <row r="862" spans="1:50" s="7" customFormat="1" ht="1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</row>
    <row r="863" spans="1:50" s="7" customFormat="1" ht="1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</row>
    <row r="864" spans="1:50" s="7" customFormat="1" ht="1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</row>
    <row r="865" spans="1:50" s="7" customFormat="1" ht="1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</row>
    <row r="866" spans="1:50" s="7" customFormat="1" ht="1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</row>
    <row r="867" spans="1:50" s="7" customFormat="1" ht="1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</row>
    <row r="868" spans="1:50" s="7" customFormat="1" ht="1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</row>
    <row r="869" spans="1:50" s="7" customFormat="1" ht="1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</row>
    <row r="870" spans="1:50" s="7" customFormat="1" ht="1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</row>
    <row r="871" spans="1:50" s="7" customFormat="1" ht="1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</row>
    <row r="872" spans="1:50" s="7" customFormat="1" ht="1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</row>
    <row r="873" spans="1:50" s="7" customFormat="1" ht="1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</row>
    <row r="874" spans="1:50" s="7" customFormat="1" ht="1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</row>
    <row r="875" spans="1:50" s="7" customFormat="1" ht="1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</row>
    <row r="876" spans="1:50" s="7" customFormat="1" ht="1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</row>
    <row r="877" spans="1:50" s="7" customFormat="1" ht="1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</row>
    <row r="878" spans="1:50" s="7" customFormat="1" ht="1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</row>
    <row r="879" spans="1:50" s="7" customFormat="1" ht="1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</row>
    <row r="880" spans="1:50" s="7" customFormat="1" ht="1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</row>
    <row r="881" spans="1:50" s="7" customFormat="1" ht="1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</row>
    <row r="882" spans="1:50" s="7" customFormat="1" ht="1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</row>
    <row r="883" spans="1:50" s="7" customFormat="1" ht="1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</row>
    <row r="884" spans="1:50" s="7" customFormat="1" ht="1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</row>
    <row r="885" spans="1:50" s="7" customFormat="1" ht="1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</row>
    <row r="886" spans="1:50" s="7" customFormat="1" ht="1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</row>
    <row r="887" spans="1:50" s="7" customFormat="1" ht="1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</row>
    <row r="888" spans="1:50" s="7" customFormat="1" ht="1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</row>
    <row r="889" spans="1:50" s="7" customFormat="1" ht="1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</row>
    <row r="890" spans="1:50" s="7" customFormat="1" ht="1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</row>
    <row r="891" spans="1:50" s="7" customFormat="1" ht="1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</row>
    <row r="892" spans="1:50" s="7" customFormat="1" ht="1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</row>
    <row r="893" spans="1:50" s="7" customFormat="1" ht="1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</row>
    <row r="894" spans="1:50" s="7" customFormat="1" ht="1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</row>
    <row r="895" spans="1:50" s="7" customFormat="1" ht="1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</row>
    <row r="896" spans="1:50" s="7" customFormat="1" ht="1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</row>
    <row r="897" spans="1:50" s="7" customFormat="1" ht="1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</row>
    <row r="898" spans="1:50" s="7" customFormat="1" ht="1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</row>
    <row r="899" spans="1:50" s="7" customFormat="1" ht="1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</row>
    <row r="900" spans="1:50" s="7" customFormat="1" ht="1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</row>
    <row r="901" spans="1:50" s="7" customFormat="1" ht="1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</row>
    <row r="902" spans="1:50" s="7" customFormat="1" ht="1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</row>
    <row r="903" spans="1:50" s="7" customFormat="1" ht="1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</row>
    <row r="904" spans="1:50" s="7" customFormat="1" ht="1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</row>
    <row r="905" spans="1:50" s="7" customFormat="1" ht="1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</row>
    <row r="906" spans="1:50" s="7" customFormat="1" ht="1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</row>
    <row r="907" spans="1:50" s="7" customFormat="1" ht="1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</row>
    <row r="908" spans="1:50" s="7" customFormat="1" ht="1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</row>
    <row r="909" spans="1:50" s="7" customFormat="1" ht="1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</row>
    <row r="910" spans="1:50" s="7" customFormat="1" ht="1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</row>
    <row r="911" spans="1:50" s="7" customFormat="1" ht="1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</row>
    <row r="912" spans="1:50" s="7" customFormat="1" ht="1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</row>
    <row r="913" spans="1:50" s="7" customFormat="1" ht="1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</row>
    <row r="914" spans="1:50" s="7" customFormat="1" ht="1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</row>
    <row r="915" spans="1:50" s="7" customFormat="1" ht="1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</row>
    <row r="916" spans="1:50" s="7" customFormat="1" ht="1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</row>
    <row r="917" spans="1:50" s="7" customFormat="1" ht="1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</row>
    <row r="918" spans="1:50" s="7" customFormat="1" ht="1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</row>
    <row r="919" spans="1:50" s="7" customFormat="1" ht="1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</row>
    <row r="920" spans="1:50" s="7" customFormat="1" ht="1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</row>
    <row r="921" spans="1:50" s="7" customFormat="1" ht="1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</row>
    <row r="922" spans="1:50" s="7" customFormat="1" ht="1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</row>
    <row r="923" spans="1:50" s="7" customFormat="1" ht="1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</row>
    <row r="924" spans="1:50" s="7" customFormat="1" ht="1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</row>
    <row r="925" spans="1:50" s="7" customFormat="1" ht="1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</row>
    <row r="926" spans="1:50" s="7" customFormat="1" ht="1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</row>
    <row r="927" spans="1:50" s="7" customFormat="1" ht="1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</row>
    <row r="928" spans="1:50" s="7" customFormat="1" ht="1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</row>
    <row r="929" spans="1:50" s="7" customFormat="1" ht="1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</row>
    <row r="930" spans="1:50" s="7" customFormat="1" ht="1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</row>
    <row r="931" spans="1:50" s="7" customFormat="1" ht="1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</row>
    <row r="932" spans="1:50" s="7" customFormat="1" ht="1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</row>
    <row r="933" spans="1:50" s="7" customFormat="1" ht="1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</row>
    <row r="934" spans="1:50" s="7" customFormat="1" ht="1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</row>
    <row r="935" spans="1:50" s="7" customFormat="1" ht="1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</row>
    <row r="936" spans="1:50" s="7" customFormat="1" ht="1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</row>
    <row r="937" spans="1:50" s="7" customFormat="1" ht="1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</row>
    <row r="938" spans="1:50" s="7" customFormat="1" ht="1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</row>
    <row r="939" spans="1:50" s="7" customFormat="1" ht="1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</row>
    <row r="940" spans="1:50" s="7" customFormat="1" ht="1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</row>
    <row r="941" spans="1:50" s="7" customFormat="1" ht="1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</row>
    <row r="942" spans="1:50" s="7" customFormat="1" ht="1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</row>
    <row r="943" spans="1:50" s="7" customFormat="1" ht="1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</row>
    <row r="944" spans="1:50" s="7" customFormat="1" ht="1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</row>
    <row r="945" spans="1:50" s="7" customFormat="1" ht="1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</row>
    <row r="946" spans="1:50" s="7" customFormat="1" ht="1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</row>
    <row r="947" spans="1:50" s="7" customFormat="1" ht="1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</row>
    <row r="948" spans="1:50" s="7" customFormat="1" ht="1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</row>
    <row r="949" spans="1:50" s="7" customFormat="1" ht="1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</row>
    <row r="950" spans="1:50" s="7" customFormat="1" ht="1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</row>
    <row r="951" spans="1:50" s="7" customFormat="1" ht="1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</row>
    <row r="952" spans="1:50" s="7" customFormat="1" ht="1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</row>
    <row r="953" spans="1:50" s="7" customFormat="1" ht="1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</row>
    <row r="954" spans="1:50" s="7" customFormat="1" ht="1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</row>
    <row r="955" spans="1:50" s="7" customFormat="1" ht="1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</row>
    <row r="956" spans="1:50" s="7" customFormat="1" ht="1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</row>
    <row r="957" spans="1:50" s="7" customFormat="1" ht="1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</row>
    <row r="958" spans="1:50" s="7" customFormat="1" ht="1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</row>
    <row r="959" spans="1:50" s="7" customFormat="1" ht="1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</row>
    <row r="960" spans="1:50" s="7" customFormat="1" ht="1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</row>
    <row r="961" spans="1:50" s="7" customFormat="1" ht="1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</row>
    <row r="962" spans="1:50" s="7" customFormat="1" ht="1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</row>
    <row r="963" spans="1:50" s="7" customFormat="1" ht="1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</row>
    <row r="964" spans="1:50" s="7" customFormat="1" ht="1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</row>
    <row r="965" spans="1:50" s="7" customFormat="1" ht="1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</row>
    <row r="966" spans="1:50" s="7" customFormat="1" ht="1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</row>
    <row r="967" spans="1:50" s="7" customFormat="1" ht="1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</row>
    <row r="968" spans="1:50" s="7" customFormat="1" ht="1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</row>
    <row r="969" spans="1:50" s="7" customFormat="1" ht="1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</row>
    <row r="970" spans="1:50" s="7" customFormat="1" ht="1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</row>
    <row r="971" spans="1:50" s="7" customFormat="1" ht="1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</row>
    <row r="972" spans="1:50" s="7" customFormat="1" ht="1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</row>
    <row r="973" spans="1:50" s="7" customFormat="1" ht="1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</row>
    <row r="974" spans="1:50" s="7" customFormat="1" ht="1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</row>
    <row r="975" spans="1:50" s="7" customFormat="1" ht="1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</row>
    <row r="976" spans="1:50" s="7" customFormat="1" ht="1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</row>
    <row r="977" spans="1:50" s="7" customFormat="1" ht="1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</row>
    <row r="978" spans="1:50" s="7" customFormat="1" ht="1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</row>
    <row r="979" spans="1:50" s="7" customFormat="1" ht="1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</row>
    <row r="980" spans="1:50" s="7" customFormat="1" ht="1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</row>
    <row r="981" spans="1:50" s="7" customFormat="1" ht="1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</row>
    <row r="982" spans="1:50" s="7" customFormat="1" ht="1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</row>
    <row r="983" spans="1:50" s="7" customFormat="1" ht="1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</row>
    <row r="984" spans="1:50" s="7" customFormat="1" ht="1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</row>
    <row r="985" spans="1:50" s="7" customFormat="1" ht="1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</row>
    <row r="986" spans="1:50" s="7" customFormat="1" ht="1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</row>
    <row r="987" spans="1:50" s="7" customFormat="1" ht="1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</row>
    <row r="988" spans="1:50" s="7" customFormat="1" ht="1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</row>
    <row r="989" spans="1:50" s="7" customFormat="1" ht="1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</row>
    <row r="990" spans="1:50" s="7" customFormat="1" ht="1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</row>
    <row r="991" spans="1:50" s="7" customFormat="1" ht="1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</row>
    <row r="992" spans="1:50" s="7" customFormat="1" ht="1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</row>
    <row r="993" spans="1:50" s="7" customFormat="1" ht="1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</row>
    <row r="994" spans="1:50" s="7" customFormat="1" ht="1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</row>
    <row r="995" spans="1:50" s="7" customFormat="1" ht="1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</row>
    <row r="996" spans="1:50" s="7" customFormat="1" ht="1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</row>
    <row r="997" spans="1:50" s="7" customFormat="1" ht="1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</row>
    <row r="998" spans="1:50" s="7" customFormat="1" ht="1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</row>
    <row r="999" spans="1:50" s="7" customFormat="1" ht="1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</row>
    <row r="1000" spans="1:50" s="7" customFormat="1" ht="1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</row>
    <row r="1001" spans="1:50" s="7" customFormat="1" ht="1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</row>
    <row r="1002" spans="1:50" s="7" customFormat="1" ht="1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</row>
    <row r="1003" spans="1:50" s="7" customFormat="1" ht="1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</row>
    <row r="1004" spans="1:50" s="7" customFormat="1" ht="1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</row>
    <row r="1005" spans="1:50" s="7" customFormat="1" ht="1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</row>
    <row r="1006" spans="1:50" s="7" customFormat="1" ht="1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</row>
    <row r="1007" spans="1:50" s="7" customFormat="1" ht="1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</row>
    <row r="1008" spans="1:50" s="7" customFormat="1" ht="1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</row>
    <row r="1009" spans="1:50" s="7" customFormat="1" ht="1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</row>
    <row r="1010" spans="1:50" s="7" customFormat="1" ht="1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</row>
    <row r="1011" spans="1:50" s="7" customFormat="1" ht="1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</row>
    <row r="1012" spans="1:50" s="7" customFormat="1" ht="1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</row>
    <row r="1013" spans="1:50" s="7" customFormat="1" ht="1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</row>
    <row r="1014" spans="1:50" s="7" customFormat="1" ht="1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</row>
    <row r="1015" spans="1:50" s="7" customFormat="1" ht="1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</row>
    <row r="1016" spans="1:50" s="7" customFormat="1" ht="1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</row>
    <row r="1017" spans="1:50" s="7" customFormat="1" ht="1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</row>
    <row r="1018" spans="1:50" s="7" customFormat="1" ht="1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</row>
    <row r="1019" spans="1:50" s="7" customFormat="1" ht="1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</row>
    <row r="1020" spans="1:50" s="7" customFormat="1" ht="1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</row>
    <row r="1021" spans="1:50" s="7" customFormat="1" ht="1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</row>
    <row r="1022" spans="1:50" s="7" customFormat="1" ht="1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</row>
    <row r="1023" spans="1:50" s="7" customFormat="1" ht="1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</row>
    <row r="1024" spans="1:50" s="7" customFormat="1" ht="1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</row>
    <row r="1025" spans="1:50" s="7" customFormat="1" ht="1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</row>
    <row r="1026" spans="1:50" s="7" customFormat="1" ht="1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</row>
    <row r="1027" spans="1:50" s="7" customFormat="1" ht="1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</row>
    <row r="1028" spans="1:50" s="7" customFormat="1" ht="1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</row>
    <row r="1029" spans="1:50" s="7" customFormat="1" ht="1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</row>
    <row r="1030" spans="1:50" s="7" customFormat="1" ht="1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</row>
    <row r="1031" spans="1:50" s="7" customFormat="1" ht="1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</row>
    <row r="1032" spans="1:50" s="7" customFormat="1" ht="1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</row>
    <row r="1033" spans="1:50" s="7" customFormat="1" ht="1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</row>
    <row r="1034" spans="1:50" s="7" customFormat="1" ht="1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</row>
    <row r="1035" spans="1:50" s="7" customFormat="1" ht="1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</row>
    <row r="1036" spans="1:50" s="7" customFormat="1" ht="1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</row>
    <row r="1037" spans="1:50" s="7" customFormat="1" ht="1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</row>
    <row r="1038" spans="1:50" s="7" customFormat="1" ht="1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</row>
    <row r="1039" spans="1:50" s="7" customFormat="1" ht="1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</row>
    <row r="1040" spans="1:50" s="7" customFormat="1" ht="1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</row>
    <row r="1041" spans="1:50" s="7" customFormat="1" ht="1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</row>
    <row r="1042" spans="1:50" s="7" customFormat="1" ht="1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</row>
    <row r="1043" spans="1:50" s="7" customFormat="1" ht="1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</row>
    <row r="1044" spans="1:50" s="7" customFormat="1" ht="1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</row>
    <row r="1045" spans="1:50" s="7" customFormat="1" ht="1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</row>
    <row r="1046" spans="1:50" s="7" customFormat="1" ht="1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</row>
    <row r="1047" spans="1:50" s="7" customFormat="1" ht="1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</row>
    <row r="1048" spans="1:50" s="7" customFormat="1" ht="1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</row>
    <row r="1049" spans="1:50" s="7" customFormat="1" ht="1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</row>
    <row r="1050" spans="1:50" s="7" customFormat="1" ht="1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</row>
    <row r="1051" spans="1:50" s="7" customFormat="1" ht="1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</row>
    <row r="1052" spans="1:50" s="7" customFormat="1" ht="1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</row>
    <row r="1053" spans="1:50" s="7" customFormat="1" ht="1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</row>
    <row r="1054" spans="1:50" s="7" customFormat="1" ht="1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</row>
    <row r="1055" spans="1:50" s="7" customFormat="1" ht="1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</row>
    <row r="1056" spans="1:50" s="7" customFormat="1" ht="1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</row>
    <row r="1057" spans="1:50" s="7" customFormat="1" ht="1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</row>
    <row r="1058" spans="1:50" s="7" customFormat="1" ht="1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</row>
    <row r="1059" spans="1:50" s="7" customFormat="1" ht="1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</row>
    <row r="1060" spans="1:50" s="7" customFormat="1" ht="1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</row>
    <row r="1061" spans="1:50" s="7" customFormat="1" ht="1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</row>
    <row r="1062" spans="1:50" s="7" customFormat="1" ht="1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</row>
    <row r="1063" spans="1:50" s="7" customFormat="1" ht="1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</row>
    <row r="1064" spans="1:50" s="7" customFormat="1" ht="1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</row>
    <row r="1065" spans="1:50" s="7" customFormat="1" ht="1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</row>
    <row r="1066" spans="1:50" s="7" customFormat="1" ht="1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</row>
    <row r="1067" spans="1:50" s="7" customFormat="1" ht="1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</row>
    <row r="1068" spans="1:50" s="7" customFormat="1" ht="1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</row>
    <row r="1069" spans="1:50" s="7" customFormat="1" ht="1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</row>
    <row r="1070" spans="1:50" s="7" customFormat="1" ht="1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</row>
    <row r="1071" spans="1:50" s="7" customFormat="1" ht="1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</row>
    <row r="1072" spans="1:50" s="7" customFormat="1" ht="1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</row>
    <row r="1073" spans="1:50" s="7" customFormat="1" ht="1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</row>
    <row r="1074" spans="1:50" s="7" customFormat="1" ht="1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</row>
    <row r="1075" spans="1:50" s="7" customFormat="1" ht="1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</row>
    <row r="1076" spans="1:50" s="7" customFormat="1" ht="1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</row>
    <row r="1077" spans="1:50" s="7" customFormat="1" ht="1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</row>
    <row r="1078" spans="1:50" s="7" customFormat="1" ht="1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</row>
    <row r="1079" spans="1:50" s="7" customFormat="1" ht="1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</row>
    <row r="1080" spans="1:50" s="7" customFormat="1" ht="1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</row>
    <row r="1081" spans="1:50" s="7" customFormat="1" ht="1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</row>
    <row r="1082" spans="1:50" s="7" customFormat="1" ht="1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</row>
    <row r="1083" spans="1:50" s="7" customFormat="1" ht="1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</row>
    <row r="1084" spans="1:50" s="7" customFormat="1" ht="1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</row>
    <row r="1085" spans="1:50" s="7" customFormat="1" ht="1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</row>
    <row r="1086" spans="1:50" s="7" customFormat="1" ht="1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</row>
    <row r="1087" spans="1:50" s="7" customFormat="1" ht="1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</row>
    <row r="1088" spans="1:50" s="7" customFormat="1" ht="1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</row>
    <row r="1089" spans="1:50" s="7" customFormat="1" ht="1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</row>
    <row r="1090" spans="1:50" s="7" customFormat="1" ht="1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</row>
    <row r="1091" spans="1:50" s="7" customFormat="1" ht="1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</row>
    <row r="1092" spans="1:50" s="7" customFormat="1" ht="1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</row>
    <row r="1093" spans="1:50" s="7" customFormat="1" ht="1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</row>
    <row r="1094" spans="1:50" s="7" customFormat="1" ht="1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</row>
    <row r="1095" spans="1:50" s="7" customFormat="1" ht="1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</row>
    <row r="1096" spans="1:50" s="7" customFormat="1" ht="1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</row>
    <row r="1097" spans="1:50" s="7" customFormat="1" ht="1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</row>
    <row r="1098" spans="1:50" s="7" customFormat="1" ht="1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</row>
    <row r="1099" spans="1:50" s="7" customFormat="1" ht="1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</row>
    <row r="1100" spans="1:50" s="7" customFormat="1" ht="1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</row>
    <row r="1101" spans="1:50" s="7" customFormat="1" ht="1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</row>
    <row r="1102" spans="1:50" s="7" customFormat="1" ht="1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</row>
    <row r="1103" spans="1:50" s="7" customFormat="1" ht="1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</row>
    <row r="1104" spans="1:50" s="7" customFormat="1" ht="1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</row>
    <row r="1105" spans="1:50" s="7" customFormat="1" ht="1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</row>
    <row r="1106" spans="1:50" s="7" customFormat="1" ht="1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</row>
    <row r="1107" spans="1:50" s="7" customFormat="1" ht="1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</row>
    <row r="1108" spans="1:50" s="7" customFormat="1" ht="1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</row>
    <row r="1109" spans="1:50" s="7" customFormat="1" ht="1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</row>
    <row r="1110" spans="1:50" s="7" customFormat="1" ht="1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</row>
    <row r="1111" spans="1:50" s="7" customFormat="1" ht="1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</row>
    <row r="1112" spans="1:50" s="7" customFormat="1" ht="1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</row>
    <row r="1113" spans="1:50" s="7" customFormat="1" ht="1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</row>
    <row r="1114" spans="1:50" s="7" customFormat="1" ht="1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</row>
    <row r="1115" spans="1:50" s="7" customFormat="1" ht="1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</row>
    <row r="1116" spans="1:50" s="7" customFormat="1" ht="1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</row>
    <row r="1117" spans="1:50" s="7" customFormat="1" ht="1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</row>
    <row r="1118" spans="1:50" s="7" customFormat="1" ht="1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</row>
    <row r="1119" spans="1:50" s="7" customFormat="1" ht="1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</row>
    <row r="1120" spans="1:50" s="7" customFormat="1" ht="1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</row>
    <row r="1121" spans="1:50" s="7" customFormat="1" ht="1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</row>
    <row r="1122" spans="1:50" s="7" customFormat="1" ht="1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</row>
    <row r="1123" spans="1:50" s="7" customFormat="1" ht="1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</row>
    <row r="1124" spans="1:50" s="7" customFormat="1" ht="1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</row>
    <row r="1125" spans="1:50" s="7" customFormat="1" ht="1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</row>
    <row r="1126" spans="1:50" s="7" customFormat="1" ht="1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</row>
    <row r="1127" spans="1:50" s="7" customFormat="1" ht="1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</row>
    <row r="1128" spans="1:50" s="7" customFormat="1" ht="1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</row>
    <row r="1129" spans="1:50" s="7" customFormat="1" ht="1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</row>
    <row r="1130" spans="1:50" s="7" customFormat="1" ht="1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</row>
    <row r="1131" spans="1:50" s="7" customFormat="1" ht="1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</row>
    <row r="1132" spans="1:50" s="7" customFormat="1" ht="1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</row>
    <row r="1133" spans="1:50" s="7" customFormat="1" ht="1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</row>
    <row r="1134" spans="1:50" s="7" customFormat="1" ht="1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</row>
    <row r="1135" spans="1:50" s="7" customFormat="1" ht="1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</row>
    <row r="1136" spans="1:50" s="7" customFormat="1" ht="1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</row>
    <row r="1137" spans="1:50" s="7" customFormat="1" ht="1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</row>
    <row r="1138" spans="1:50" s="7" customFormat="1" ht="1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</row>
    <row r="1139" spans="1:50" s="7" customFormat="1" ht="1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</row>
    <row r="1140" spans="1:50" s="7" customFormat="1" ht="1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</row>
    <row r="1141" spans="1:50" s="7" customFormat="1" ht="1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</row>
    <row r="1142" spans="1:50" s="7" customFormat="1" ht="1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</row>
    <row r="1143" spans="1:50" s="7" customFormat="1" ht="1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</row>
    <row r="1144" spans="1:50" s="7" customFormat="1" ht="1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</row>
    <row r="1145" spans="1:50" s="7" customFormat="1" ht="1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</row>
    <row r="1146" spans="1:50" s="7" customFormat="1" ht="1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</row>
    <row r="1147" spans="1:50" s="7" customFormat="1" ht="1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</row>
    <row r="1148" spans="1:50" s="7" customFormat="1" ht="1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</row>
    <row r="1149" spans="1:50" s="7" customFormat="1" ht="1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</row>
    <row r="1150" spans="1:50" s="7" customFormat="1" ht="1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</row>
    <row r="1151" spans="1:50" s="7" customFormat="1" ht="1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</row>
    <row r="1152" spans="1:50" s="7" customFormat="1" ht="1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</row>
    <row r="1153" spans="1:50" s="7" customFormat="1" ht="1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</row>
    <row r="1154" spans="1:50" s="7" customFormat="1" ht="1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</row>
    <row r="1155" spans="1:50" s="7" customFormat="1" ht="1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</row>
    <row r="1156" spans="1:50" s="7" customFormat="1" ht="1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</row>
    <row r="1157" spans="1:50" s="7" customFormat="1" ht="1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</row>
    <row r="1158" spans="1:50" s="7" customFormat="1" ht="1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</row>
    <row r="1159" spans="1:50" s="7" customFormat="1" ht="1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</row>
    <row r="1160" spans="1:50" s="7" customFormat="1" ht="1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</row>
    <row r="1161" spans="1:50" s="7" customFormat="1" ht="1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</row>
    <row r="1162" spans="1:50" s="7" customFormat="1" ht="1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</row>
    <row r="1163" spans="1:50" s="7" customFormat="1" ht="1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</row>
    <row r="1164" spans="1:50" s="7" customFormat="1" ht="1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</row>
    <row r="1165" spans="1:50" s="7" customFormat="1" ht="1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</row>
    <row r="1166" spans="1:50" s="7" customFormat="1" ht="1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</row>
    <row r="1167" spans="1:50" s="7" customFormat="1" ht="1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</row>
    <row r="1168" spans="1:50" s="7" customFormat="1" ht="1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</row>
    <row r="1169" spans="1:50" s="7" customFormat="1" ht="1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</row>
    <row r="1170" spans="1:50" s="7" customFormat="1" ht="1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</row>
    <row r="1171" spans="1:50" s="7" customFormat="1" ht="1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</row>
    <row r="1172" spans="1:50" s="7" customFormat="1" ht="1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</row>
    <row r="1173" spans="1:50" s="7" customFormat="1" ht="1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</row>
    <row r="1174" spans="1:50" s="7" customFormat="1" ht="1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</row>
    <row r="1175" spans="1:50" s="7" customFormat="1" ht="1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</row>
    <row r="1176" spans="1:50" s="7" customFormat="1" ht="1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</row>
    <row r="1177" spans="1:50" s="7" customFormat="1" ht="1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</row>
    <row r="1178" spans="1:50" s="7" customFormat="1" ht="1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</row>
    <row r="1179" spans="1:50" s="7" customFormat="1" ht="1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</row>
    <row r="1180" spans="1:50" s="7" customFormat="1" ht="1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</row>
    <row r="1181" spans="1:50" s="7" customFormat="1" ht="1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</row>
    <row r="1182" spans="1:50" s="7" customFormat="1" ht="1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</row>
    <row r="1183" spans="1:50" s="7" customFormat="1" ht="1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</row>
    <row r="1184" spans="1:50" s="7" customFormat="1" ht="1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</row>
    <row r="1185" spans="1:50" s="7" customFormat="1" ht="1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</row>
    <row r="1186" spans="1:50" s="7" customFormat="1" ht="1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</row>
    <row r="1187" spans="1:50" s="7" customFormat="1" ht="1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</row>
    <row r="1188" spans="1:50" s="7" customFormat="1" ht="1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</row>
    <row r="1189" spans="1:50" s="7" customFormat="1" ht="1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</row>
    <row r="1190" spans="1:50" s="7" customFormat="1" ht="1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</row>
    <row r="1191" spans="1:50" s="7" customFormat="1" ht="1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</row>
    <row r="1192" spans="1:50" s="7" customFormat="1" ht="1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</row>
    <row r="1193" spans="1:50" s="7" customFormat="1" ht="1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</row>
    <row r="1194" spans="1:50" s="7" customFormat="1" ht="1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</row>
    <row r="1195" spans="1:50" s="7" customFormat="1" ht="1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</row>
    <row r="1196" spans="1:50" s="7" customFormat="1" ht="1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</row>
    <row r="1197" spans="1:50" s="7" customFormat="1" ht="1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</row>
    <row r="1198" spans="1:50" s="7" customFormat="1" ht="1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</row>
    <row r="1199" spans="1:50" s="7" customFormat="1" ht="1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</row>
    <row r="1200" spans="1:50" s="7" customFormat="1" ht="1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</row>
    <row r="1201" spans="1:50" s="7" customFormat="1" ht="1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</row>
    <row r="1202" spans="1:50" s="7" customFormat="1" ht="1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</row>
    <row r="1203" spans="1:50" s="7" customFormat="1" ht="1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</row>
    <row r="1204" spans="1:50" s="7" customFormat="1" ht="1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</row>
    <row r="1205" spans="1:50" s="7" customFormat="1" ht="1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</row>
    <row r="1206" spans="1:50" s="7" customFormat="1" ht="1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</row>
    <row r="1207" spans="1:50" s="7" customFormat="1" ht="1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</row>
    <row r="1208" spans="1:50" s="7" customFormat="1" ht="1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</row>
    <row r="1209" spans="1:50" s="7" customFormat="1" ht="1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</row>
    <row r="1210" spans="1:50" s="7" customFormat="1" ht="1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</row>
    <row r="1211" spans="1:50" s="7" customFormat="1" ht="1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</row>
    <row r="1212" spans="1:50" s="7" customFormat="1" ht="1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</row>
    <row r="1213" spans="1:50" s="7" customFormat="1" ht="1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</row>
    <row r="1214" spans="1:50" s="7" customFormat="1" ht="1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</row>
    <row r="1215" spans="1:50" s="7" customFormat="1" ht="1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</row>
    <row r="1216" spans="1:50" s="7" customFormat="1" ht="1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</row>
    <row r="1217" spans="1:50" s="7" customFormat="1" ht="1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</row>
    <row r="1218" spans="1:50" s="7" customFormat="1" ht="1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</row>
    <row r="1219" spans="1:50" s="7" customFormat="1" ht="1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</row>
    <row r="1220" spans="1:50" s="7" customFormat="1" ht="1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</row>
    <row r="1221" spans="1:50" s="7" customFormat="1" ht="1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</row>
    <row r="1222" spans="1:50" s="7" customFormat="1" ht="1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</row>
    <row r="1223" spans="1:50" s="7" customFormat="1" ht="1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</row>
    <row r="1224" spans="1:50" s="7" customFormat="1" ht="1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</row>
    <row r="1225" spans="1:50" s="7" customFormat="1" ht="1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</row>
    <row r="1226" spans="1:50" s="7" customFormat="1" ht="1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</row>
    <row r="1227" spans="1:50" s="7" customFormat="1" ht="1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</row>
    <row r="1228" spans="1:50" s="7" customFormat="1" ht="1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</row>
    <row r="1229" spans="1:50" s="7" customFormat="1" ht="1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</row>
    <row r="1230" spans="1:50" s="7" customFormat="1" ht="1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</row>
    <row r="1231" spans="1:50" s="7" customFormat="1" ht="1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</row>
    <row r="1232" spans="1:50" s="7" customFormat="1" ht="1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</row>
    <row r="1233" spans="1:50" s="7" customFormat="1" ht="1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</row>
    <row r="1234" spans="1:50" s="7" customFormat="1" ht="1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</row>
    <row r="1235" spans="1:50" s="7" customFormat="1" ht="1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</row>
    <row r="1236" spans="1:50" s="7" customFormat="1" ht="1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</row>
    <row r="1237" spans="1:50" s="7" customFormat="1" ht="1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</row>
    <row r="1238" spans="1:50" s="7" customFormat="1" ht="1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</row>
    <row r="1239" spans="1:50" s="7" customFormat="1" ht="1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</row>
    <row r="1240" spans="1:50" s="7" customFormat="1" ht="1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</row>
    <row r="1241" spans="1:50" s="7" customFormat="1" ht="1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</row>
    <row r="1242" spans="1:50" s="7" customFormat="1" ht="1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</row>
    <row r="1243" spans="1:50" s="7" customFormat="1" ht="1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</row>
    <row r="1244" spans="1:50" s="7" customFormat="1" ht="1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</row>
    <row r="1245" spans="1:50" s="7" customFormat="1" ht="1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</row>
    <row r="1246" spans="1:50" s="7" customFormat="1" ht="1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</row>
    <row r="1247" spans="1:50" s="7" customFormat="1" ht="1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</row>
    <row r="1248" spans="1:50" s="7" customFormat="1" ht="1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</row>
    <row r="1249" spans="1:50" s="7" customFormat="1" ht="1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</row>
    <row r="1250" spans="1:50" s="7" customFormat="1" ht="1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</row>
    <row r="1251" spans="1:50" s="7" customFormat="1" ht="1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</row>
    <row r="1252" spans="1:50" s="7" customFormat="1" ht="1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</row>
    <row r="1253" spans="1:50" s="7" customFormat="1" ht="1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</row>
    <row r="1254" spans="1:50" s="7" customFormat="1" ht="1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</row>
    <row r="1255" spans="1:50" s="7" customFormat="1" ht="1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</row>
    <row r="1256" spans="1:50" s="7" customFormat="1" ht="1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</row>
    <row r="1257" spans="1:50" s="7" customFormat="1" ht="1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</row>
    <row r="1258" spans="1:50" s="7" customFormat="1" ht="1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</row>
    <row r="1259" spans="1:50" s="7" customFormat="1" ht="1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</row>
    <row r="1260" spans="1:50" s="7" customFormat="1" ht="1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</row>
    <row r="1261" spans="1:50" s="7" customFormat="1" ht="1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</row>
    <row r="1262" spans="1:50" s="7" customFormat="1" ht="1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</row>
    <row r="1263" spans="1:50" s="7" customFormat="1" ht="1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</row>
    <row r="1264" spans="1:50" s="7" customFormat="1" ht="1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</row>
    <row r="1265" spans="1:50" s="7" customFormat="1" ht="1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</row>
    <row r="1266" spans="1:50" s="7" customFormat="1" ht="1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</row>
    <row r="1267" spans="1:50" s="7" customFormat="1" ht="1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</row>
    <row r="1268" spans="1:50" s="7" customFormat="1" ht="1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</row>
    <row r="1269" spans="1:50" s="7" customFormat="1" ht="1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</row>
    <row r="1270" spans="1:50" s="7" customFormat="1" ht="1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</row>
    <row r="1271" spans="1:50" s="7" customFormat="1" ht="1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</row>
    <row r="1272" spans="1:50" s="7" customFormat="1" ht="1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</row>
    <row r="1273" spans="1:50" s="7" customFormat="1" ht="1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</row>
    <row r="1274" spans="1:50" s="7" customFormat="1" ht="1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</row>
    <row r="1275" spans="1:50" s="7" customFormat="1" ht="1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</row>
    <row r="1276" spans="1:50" s="7" customFormat="1" ht="1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</row>
    <row r="1277" spans="1:50" s="7" customFormat="1" ht="1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</row>
    <row r="1278" spans="1:50" s="7" customFormat="1" ht="1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</row>
    <row r="1279" spans="1:50" s="7" customFormat="1" ht="1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</row>
    <row r="1280" spans="1:50" s="7" customFormat="1" ht="1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</row>
    <row r="1281" spans="1:50" s="7" customFormat="1" ht="1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</row>
    <row r="1282" spans="1:50" s="7" customFormat="1" ht="1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</row>
    <row r="1283" spans="1:50" s="7" customFormat="1" ht="1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</row>
    <row r="1284" spans="1:50" s="7" customFormat="1" ht="1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</row>
    <row r="1285" spans="1:50" s="7" customFormat="1" ht="1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</row>
    <row r="1286" spans="1:50" s="7" customFormat="1" ht="1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</row>
    <row r="1287" spans="1:50" s="7" customFormat="1" ht="1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</row>
    <row r="1288" spans="1:50" s="7" customFormat="1" ht="1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</row>
    <row r="1289" spans="1:50" s="7" customFormat="1" ht="1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</row>
    <row r="1290" spans="1:50" s="7" customFormat="1" ht="1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</row>
    <row r="1291" spans="1:50" s="7" customFormat="1" ht="1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</row>
    <row r="1292" spans="1:50" s="7" customFormat="1" ht="1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</row>
    <row r="1293" spans="1:50" s="7" customFormat="1" ht="1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</row>
    <row r="1294" spans="1:50" s="7" customFormat="1" ht="1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</row>
    <row r="1295" spans="1:50" s="7" customFormat="1" ht="1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</row>
    <row r="1296" spans="1:50" s="7" customFormat="1" ht="1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</row>
    <row r="1297" spans="1:50" s="7" customFormat="1" ht="1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</row>
    <row r="1298" spans="1:50" s="7" customFormat="1" ht="1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</row>
    <row r="1299" spans="1:50" s="7" customFormat="1" ht="1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</row>
    <row r="1300" spans="1:50" s="7" customFormat="1" ht="1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</row>
    <row r="1301" spans="1:50" s="7" customFormat="1" ht="1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</row>
    <row r="1302" spans="1:50" s="7" customFormat="1" ht="1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</row>
    <row r="1303" spans="1:50" s="7" customFormat="1" ht="1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</row>
    <row r="1304" spans="1:50" s="7" customFormat="1" ht="1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</row>
    <row r="1305" spans="1:50" s="7" customFormat="1" ht="1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</row>
    <row r="1306" spans="1:50" s="7" customFormat="1" ht="1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</row>
    <row r="1307" spans="1:50" s="7" customFormat="1" ht="1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</row>
    <row r="1308" spans="1:50" s="7" customFormat="1" ht="1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</row>
    <row r="1309" spans="1:50" s="7" customFormat="1" ht="1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</row>
    <row r="1310" spans="1:50" s="7" customFormat="1" ht="1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</row>
    <row r="1311" spans="1:50" s="7" customFormat="1" ht="1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</row>
    <row r="1312" spans="1:50" s="7" customFormat="1" ht="1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</row>
    <row r="1313" spans="1:50" s="7" customFormat="1" ht="1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</row>
    <row r="1314" spans="1:50" s="7" customFormat="1" ht="1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</row>
    <row r="1315" spans="1:50" s="7" customFormat="1" ht="1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</row>
    <row r="1316" spans="1:50" s="7" customFormat="1" ht="1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</row>
    <row r="1317" spans="1:50" s="7" customFormat="1" ht="1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</row>
    <row r="1318" spans="1:50" s="7" customFormat="1" ht="1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</row>
    <row r="1319" spans="1:50" s="7" customFormat="1" ht="1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</row>
    <row r="1320" spans="1:50" s="7" customFormat="1" ht="1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</row>
    <row r="1321" spans="1:50" s="7" customFormat="1" ht="1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</row>
    <row r="1322" spans="1:50" s="7" customFormat="1" ht="1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</row>
    <row r="1323" spans="1:50" s="7" customFormat="1" ht="1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</row>
    <row r="1324" spans="1:50" s="7" customFormat="1" ht="1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</row>
    <row r="1325" spans="1:50" s="7" customFormat="1" ht="1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</row>
    <row r="1326" spans="1:50" s="7" customFormat="1" ht="1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</row>
    <row r="1327" spans="1:50" s="7" customFormat="1" ht="1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</row>
    <row r="1328" spans="1:50" s="7" customFormat="1" ht="1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</row>
    <row r="1329" spans="1:50" s="7" customFormat="1" ht="1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</row>
    <row r="1330" spans="1:50" s="7" customFormat="1" ht="1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</row>
    <row r="1331" spans="1:50" s="7" customFormat="1" ht="1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</row>
    <row r="1332" spans="1:50" s="7" customFormat="1" ht="1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</row>
    <row r="1333" spans="1:50" s="7" customFormat="1" ht="1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</row>
    <row r="1334" spans="1:50" s="7" customFormat="1" ht="1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</row>
    <row r="1335" spans="1:50" s="7" customFormat="1" ht="1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</row>
    <row r="1336" spans="1:50" s="7" customFormat="1" ht="1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</row>
    <row r="1337" spans="1:50" s="7" customFormat="1" ht="1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</row>
    <row r="1338" spans="1:50" s="7" customFormat="1" ht="1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</row>
    <row r="1339" spans="1:50" s="7" customFormat="1" ht="1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</row>
    <row r="1340" spans="1:50" s="7" customFormat="1" ht="1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</row>
    <row r="1341" spans="1:50" s="7" customFormat="1" ht="1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</row>
    <row r="1342" spans="1:50" s="7" customFormat="1" ht="1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</row>
    <row r="1343" spans="1:50" s="7" customFormat="1" ht="1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</row>
    <row r="1344" spans="1:50" s="7" customFormat="1" ht="1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</row>
    <row r="1345" spans="1:50" s="7" customFormat="1" ht="1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</row>
    <row r="1346" spans="1:50" s="7" customFormat="1" ht="1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</row>
    <row r="1347" spans="1:50" s="7" customFormat="1" ht="1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</row>
    <row r="1348" spans="1:50" s="7" customFormat="1" ht="1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</row>
    <row r="1349" spans="1:50" s="7" customFormat="1" ht="1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</row>
    <row r="1350" spans="1:50" s="7" customFormat="1" ht="1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</row>
    <row r="1351" spans="1:50" s="7" customFormat="1" ht="1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</row>
    <row r="1352" spans="1:50" s="7" customFormat="1" ht="1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</row>
    <row r="1353" spans="1:50" s="7" customFormat="1" ht="1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</row>
    <row r="1354" spans="1:50" s="7" customFormat="1" ht="1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</row>
    <row r="1355" spans="1:50" s="7" customFormat="1" ht="1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</row>
    <row r="1356" spans="1:50" s="7" customFormat="1" ht="1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</row>
    <row r="1357" spans="1:50" s="7" customFormat="1" ht="1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</row>
    <row r="1358" spans="1:50" s="7" customFormat="1" ht="1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</row>
    <row r="1359" spans="1:50" s="7" customFormat="1" ht="1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</row>
    <row r="1360" spans="1:50" s="7" customFormat="1" ht="1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</row>
    <row r="1361" spans="1:50" s="7" customFormat="1" ht="1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</row>
    <row r="1362" spans="1:50" s="7" customFormat="1" ht="1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</row>
    <row r="1363" spans="1:50" s="7" customFormat="1" ht="1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</row>
    <row r="1364" spans="1:50" s="7" customFormat="1" ht="1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</row>
    <row r="1365" spans="1:50" s="7" customFormat="1" ht="1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</row>
    <row r="1366" spans="1:50" s="7" customFormat="1" ht="1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</row>
    <row r="1367" spans="1:50" s="7" customFormat="1" ht="1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</row>
    <row r="1368" spans="1:50" s="7" customFormat="1" ht="1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</row>
    <row r="1369" spans="1:50" s="7" customFormat="1" ht="1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</row>
    <row r="1370" spans="1:50" s="7" customFormat="1" ht="1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</row>
    <row r="1371" spans="1:50" s="7" customFormat="1" ht="1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</row>
    <row r="1372" spans="1:50" s="7" customFormat="1" ht="1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</row>
    <row r="1373" spans="1:50" s="7" customFormat="1" ht="1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</row>
    <row r="1374" spans="1:50" s="7" customFormat="1" ht="1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</row>
    <row r="1375" spans="1:50" s="7" customFormat="1" ht="1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</row>
    <row r="1376" spans="1:50" s="7" customFormat="1" ht="1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</row>
    <row r="1377" spans="1:50" s="7" customFormat="1" ht="1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</row>
    <row r="1378" spans="1:50" s="7" customFormat="1" ht="1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</row>
    <row r="1379" spans="1:50" s="7" customFormat="1" ht="1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</row>
    <row r="1380" spans="1:50" s="7" customFormat="1" ht="1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</row>
    <row r="1381" spans="1:50" s="7" customFormat="1" ht="1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</row>
    <row r="1382" spans="1:50" s="7" customFormat="1" ht="1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</row>
    <row r="1383" spans="1:50" s="7" customFormat="1" ht="1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</row>
    <row r="1384" spans="1:50" s="7" customFormat="1" ht="1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</row>
    <row r="1385" spans="1:50" s="7" customFormat="1" ht="1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</row>
    <row r="1386" spans="1:50" s="7" customFormat="1" ht="1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</row>
    <row r="1387" spans="1:50" s="7" customFormat="1" ht="1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</row>
    <row r="1388" spans="1:50" s="7" customFormat="1" ht="1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</row>
    <row r="1389" spans="1:50" s="7" customFormat="1" ht="1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</row>
    <row r="1390" spans="1:50" s="7" customFormat="1" ht="1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</row>
    <row r="1391" spans="1:50" s="7" customFormat="1" ht="1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</row>
    <row r="1392" spans="1:50" s="7" customFormat="1" ht="1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</row>
    <row r="1393" spans="1:50" s="7" customFormat="1" ht="1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</row>
    <row r="1394" spans="1:50" s="7" customFormat="1" ht="1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</row>
    <row r="1395" spans="1:50" s="7" customFormat="1" ht="1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</row>
    <row r="1396" spans="1:50" s="7" customFormat="1" ht="1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</row>
    <row r="1397" spans="1:50" s="7" customFormat="1" ht="1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</row>
    <row r="1398" spans="1:50" s="7" customFormat="1" ht="1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</row>
    <row r="1399" spans="1:50" s="7" customFormat="1" ht="1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</row>
    <row r="1400" spans="1:50" s="7" customFormat="1" ht="1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</row>
    <row r="1401" spans="1:50" s="7" customFormat="1" ht="1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</row>
    <row r="1402" spans="1:50" s="7" customFormat="1" ht="1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</row>
    <row r="1403" spans="1:50" s="7" customFormat="1" ht="1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</row>
    <row r="1404" spans="1:50" s="7" customFormat="1" ht="1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</row>
    <row r="1405" spans="1:50" s="7" customFormat="1" ht="1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</row>
    <row r="1406" spans="1:50" s="7" customFormat="1" ht="1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</row>
    <row r="1407" spans="1:50" s="7" customFormat="1" ht="1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</row>
    <row r="1408" spans="1:50" s="7" customFormat="1" ht="1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</row>
    <row r="1409" spans="1:50" s="7" customFormat="1" ht="1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</row>
    <row r="1410" spans="1:50" s="7" customFormat="1" ht="1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</row>
    <row r="1411" spans="1:50" s="7" customFormat="1" ht="1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</row>
    <row r="1412" spans="1:50" s="7" customFormat="1" ht="1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</row>
    <row r="1413" spans="1:50" s="7" customFormat="1" ht="1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</row>
    <row r="1414" spans="1:50" s="7" customFormat="1" ht="1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</row>
    <row r="1415" spans="1:50" s="7" customFormat="1" ht="1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</row>
    <row r="1416" spans="1:50" s="7" customFormat="1" ht="1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</row>
    <row r="1417" spans="1:50" s="7" customFormat="1" ht="1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</row>
    <row r="1418" spans="1:50" s="7" customFormat="1" ht="1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</row>
    <row r="1419" spans="1:50" s="7" customFormat="1" ht="1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</row>
    <row r="1420" spans="1:50" s="7" customFormat="1" ht="1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</row>
    <row r="1421" spans="1:50" s="7" customFormat="1" ht="1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</row>
    <row r="1422" spans="1:50" s="7" customFormat="1" ht="1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</row>
    <row r="1423" spans="1:50" s="7" customFormat="1" ht="1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</row>
    <row r="1424" spans="1:50" s="7" customFormat="1" ht="1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</row>
    <row r="1425" spans="1:50" s="7" customFormat="1" ht="1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</row>
    <row r="1426" spans="1:50" s="7" customFormat="1" ht="1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</row>
    <row r="1427" spans="1:50" s="7" customFormat="1" ht="1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</row>
    <row r="1428" spans="1:50" s="7" customFormat="1" ht="1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</row>
    <row r="1429" spans="1:50" s="7" customFormat="1" ht="1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</row>
    <row r="1430" spans="1:50" s="7" customFormat="1" ht="1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</row>
    <row r="1431" spans="1:50" s="7" customFormat="1" ht="1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</row>
    <row r="1432" spans="1:50" s="7" customFormat="1" ht="1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</row>
    <row r="1433" spans="1:50" s="7" customFormat="1" ht="1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</row>
    <row r="1434" spans="1:50" s="7" customFormat="1" ht="1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</row>
    <row r="1435" spans="1:50" s="7" customFormat="1" ht="1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</row>
    <row r="1436" spans="1:50" s="7" customFormat="1" ht="1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</row>
    <row r="1437" spans="1:50" s="7" customFormat="1" ht="1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</row>
    <row r="1438" spans="1:50" s="7" customFormat="1" ht="1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</row>
    <row r="1439" spans="1:50" s="7" customFormat="1" ht="1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</row>
    <row r="1440" spans="1:50" s="7" customFormat="1" ht="1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</row>
    <row r="1441" spans="1:50" s="7" customFormat="1" ht="1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</row>
    <row r="1442" spans="1:50" s="7" customFormat="1" ht="1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</row>
    <row r="1443" spans="1:50" s="7" customFormat="1" ht="1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</row>
    <row r="1444" spans="1:50" s="7" customFormat="1" ht="1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</row>
    <row r="1445" spans="1:50" s="7" customFormat="1" ht="1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</row>
    <row r="1446" spans="1:50" s="7" customFormat="1" ht="1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</row>
    <row r="1447" spans="1:50" s="7" customFormat="1" ht="1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</row>
    <row r="1448" spans="1:50" s="7" customFormat="1" ht="1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</row>
    <row r="1449" spans="1:50" s="7" customFormat="1" ht="1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</row>
    <row r="1450" spans="1:50" s="7" customFormat="1" ht="1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</row>
    <row r="1451" spans="1:50" s="7" customFormat="1" ht="1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</row>
    <row r="1452" spans="1:50" s="7" customFormat="1" ht="1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</row>
    <row r="1453" spans="1:50" s="7" customFormat="1" ht="1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</row>
    <row r="1454" spans="1:50" s="7" customFormat="1" ht="1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</row>
    <row r="1455" spans="1:50" s="7" customFormat="1" ht="1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</row>
    <row r="1456" spans="1:50" s="7" customFormat="1" ht="1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</row>
    <row r="1457" spans="1:50" s="7" customFormat="1" ht="1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</row>
    <row r="1458" spans="1:50" s="7" customFormat="1" ht="1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</row>
    <row r="1459" spans="1:50" s="7" customFormat="1" ht="1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</row>
    <row r="1460" spans="1:50" s="7" customFormat="1" ht="1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</row>
    <row r="1461" spans="1:50" s="7" customFormat="1" ht="1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</row>
    <row r="1462" spans="1:50" s="7" customFormat="1" ht="1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</row>
    <row r="1463" spans="1:50" s="7" customFormat="1" ht="1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</row>
    <row r="1464" spans="1:50" s="7" customFormat="1" ht="1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</row>
    <row r="1465" spans="1:50" s="7" customFormat="1" ht="1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</row>
    <row r="1466" spans="1:50" s="7" customFormat="1" ht="1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</row>
    <row r="1467" spans="1:50" s="7" customFormat="1" ht="1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</row>
    <row r="1468" spans="1:50" s="7" customFormat="1" ht="1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</row>
    <row r="1469" spans="1:50" s="7" customFormat="1" ht="1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</row>
    <row r="1470" spans="1:50" s="7" customFormat="1" ht="1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</row>
    <row r="1471" spans="1:50" s="7" customFormat="1" ht="1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</row>
    <row r="1472" spans="1:50" s="7" customFormat="1" ht="1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</row>
    <row r="1473" spans="1:50" s="7" customFormat="1" ht="1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</row>
    <row r="1474" spans="1:50" s="7" customFormat="1" ht="1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</row>
    <row r="1475" spans="1:50" s="7" customFormat="1" ht="1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</row>
    <row r="1476" spans="1:50" s="7" customFormat="1" ht="1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</row>
    <row r="1477" spans="1:50" s="7" customFormat="1" ht="1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</row>
    <row r="1478" spans="1:50" s="7" customFormat="1" ht="1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</row>
    <row r="1479" spans="1:50" s="7" customFormat="1" ht="1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</row>
    <row r="1480" spans="1:50" s="7" customFormat="1" ht="1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</row>
    <row r="1481" spans="1:50" s="7" customFormat="1" ht="1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</row>
    <row r="1482" spans="1:50" s="7" customFormat="1" ht="1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</row>
    <row r="1483" spans="1:50" s="7" customFormat="1" ht="1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</row>
    <row r="1484" spans="1:50" s="7" customFormat="1" ht="1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</row>
    <row r="1485" spans="1:50" s="7" customFormat="1" ht="1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</row>
    <row r="1486" spans="1:50" s="7" customFormat="1" ht="1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</row>
    <row r="1487" spans="1:50" s="7" customFormat="1" ht="1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</row>
    <row r="1488" spans="1:50" s="7" customFormat="1" ht="1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</row>
    <row r="1489" spans="1:50" s="7" customFormat="1" ht="1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</row>
    <row r="1490" spans="1:50" s="7" customFormat="1" ht="1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</row>
    <row r="1491" spans="1:50" s="7" customFormat="1" ht="1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</row>
    <row r="1492" spans="1:50" s="7" customFormat="1" ht="1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</row>
    <row r="1493" spans="1:50" s="7" customFormat="1" ht="1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</row>
    <row r="1494" spans="1:50" s="7" customFormat="1" ht="1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</row>
    <row r="1495" spans="1:50" s="7" customFormat="1" ht="1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</row>
    <row r="1496" spans="1:50" s="7" customFormat="1" ht="1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</row>
    <row r="1497" spans="1:50" s="7" customFormat="1" ht="1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</row>
    <row r="1498" spans="1:50" s="7" customFormat="1" ht="1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</row>
    <row r="1499" spans="1:50" s="7" customFormat="1" ht="1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</row>
    <row r="1500" spans="1:50" s="7" customFormat="1" ht="1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</row>
    <row r="1501" spans="1:50" s="7" customFormat="1" ht="1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</row>
    <row r="1502" spans="1:50" s="7" customFormat="1" ht="1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</row>
    <row r="1503" spans="1:50" s="7" customFormat="1" ht="1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</row>
    <row r="1504" spans="1:50" s="7" customFormat="1" ht="1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</row>
    <row r="1505" spans="1:50" s="7" customFormat="1" ht="1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</row>
    <row r="1506" spans="1:50" s="7" customFormat="1" ht="1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</row>
    <row r="1507" spans="1:50" s="7" customFormat="1" ht="1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</row>
    <row r="1508" spans="1:50" s="7" customFormat="1" ht="1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</row>
    <row r="1509" spans="1:50" s="7" customFormat="1" ht="1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</row>
    <row r="1510" spans="1:50" s="7" customFormat="1" ht="1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</row>
    <row r="1511" spans="1:50" s="7" customFormat="1" ht="1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</row>
    <row r="1512" spans="1:50" s="7" customFormat="1" ht="1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</row>
    <row r="1513" spans="1:50" s="7" customFormat="1" ht="1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</row>
    <row r="1514" spans="1:50" s="7" customFormat="1" ht="1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</row>
    <row r="1515" spans="1:50" s="7" customFormat="1" ht="1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</row>
    <row r="1516" spans="1:50" s="7" customFormat="1" ht="1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</row>
    <row r="1517" spans="1:50" s="7" customFormat="1" ht="1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</row>
    <row r="1518" spans="1:50" s="7" customFormat="1" ht="1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</row>
    <row r="1519" spans="1:50" s="7" customFormat="1" ht="1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</row>
    <row r="1520" spans="1:50" s="7" customFormat="1" ht="1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</row>
    <row r="1521" spans="1:50" s="7" customFormat="1" ht="1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</row>
    <row r="1522" spans="1:50" s="7" customFormat="1" ht="1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</row>
    <row r="1523" spans="1:50" s="7" customFormat="1" ht="1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</row>
    <row r="1524" spans="1:50" s="7" customFormat="1" ht="1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</row>
    <row r="1525" spans="1:50" s="7" customFormat="1" ht="1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</row>
    <row r="1526" spans="1:50" s="7" customFormat="1" ht="1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</row>
    <row r="1527" spans="1:50" s="7" customFormat="1" ht="1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</row>
    <row r="1528" spans="1:50" s="7" customFormat="1" ht="1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</row>
    <row r="1529" spans="1:50" s="7" customFormat="1" ht="1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</row>
    <row r="1530" spans="1:50" s="7" customFormat="1" ht="1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</row>
    <row r="1531" spans="1:50" s="7" customFormat="1" ht="1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</row>
    <row r="1532" spans="1:50" s="7" customFormat="1" ht="1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</row>
    <row r="1533" spans="1:50" s="7" customFormat="1" ht="1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</row>
    <row r="1534" spans="1:50" s="7" customFormat="1" ht="1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</row>
    <row r="1535" spans="1:50" s="7" customFormat="1" ht="1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</row>
    <row r="1536" spans="1:50" s="7" customFormat="1" ht="1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</row>
    <row r="1537" spans="1:50" s="7" customFormat="1" ht="1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</row>
    <row r="1538" spans="1:50" s="7" customFormat="1" ht="1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</row>
    <row r="1539" spans="1:50" s="7" customFormat="1" ht="1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</row>
    <row r="1540" spans="1:50" s="7" customFormat="1" ht="1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</row>
    <row r="1541" spans="1:50" s="7" customFormat="1" ht="1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</row>
    <row r="1542" spans="1:50" s="7" customFormat="1" ht="1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</row>
    <row r="1543" spans="1:50" s="7" customFormat="1" ht="1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</row>
    <row r="1544" spans="1:50" s="7" customFormat="1" ht="1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</row>
    <row r="1545" spans="1:50" s="7" customFormat="1" ht="1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</row>
    <row r="1546" spans="1:50" s="7" customFormat="1" ht="1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</row>
    <row r="1547" spans="1:50" s="7" customFormat="1" ht="1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</row>
    <row r="1548" spans="1:50" s="7" customFormat="1" ht="1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</row>
    <row r="1549" spans="1:50" s="7" customFormat="1" ht="1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</row>
    <row r="1550" spans="1:50" s="7" customFormat="1" ht="1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</row>
    <row r="1551" spans="1:50" s="7" customFormat="1" ht="1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</row>
    <row r="1552" spans="1:50" s="7" customFormat="1" ht="1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</row>
    <row r="1553" spans="1:50" s="7" customFormat="1" ht="1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</row>
    <row r="1554" spans="1:50" s="7" customFormat="1" ht="1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</row>
    <row r="1555" spans="1:50" s="7" customFormat="1" ht="1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</row>
    <row r="1556" spans="1:50" s="7" customFormat="1" ht="1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</row>
    <row r="1557" spans="1:50" s="7" customFormat="1" ht="1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</row>
    <row r="1558" spans="1:50" s="7" customFormat="1" ht="1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</row>
    <row r="1559" spans="1:50" s="7" customFormat="1" ht="1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</row>
    <row r="1560" spans="1:50" s="7" customFormat="1" ht="1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</row>
    <row r="1561" spans="1:50" s="7" customFormat="1" ht="1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</row>
    <row r="1562" spans="1:50" s="7" customFormat="1" ht="1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</row>
    <row r="1563" spans="1:50" s="7" customFormat="1" ht="1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</row>
    <row r="1564" spans="1:50" s="7" customFormat="1" ht="1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</row>
    <row r="1565" spans="1:50" s="7" customFormat="1" ht="1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</row>
    <row r="1566" spans="1:50" s="7" customFormat="1" ht="1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</row>
    <row r="1567" spans="1:50" s="7" customFormat="1" ht="1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</row>
    <row r="1568" spans="1:50" s="7" customFormat="1" ht="1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</row>
    <row r="1569" spans="1:50" s="7" customFormat="1" ht="1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</row>
    <row r="1570" spans="1:50" s="7" customFormat="1" ht="1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</row>
    <row r="1571" spans="1:50" s="7" customFormat="1" ht="1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</row>
    <row r="1572" spans="1:50" s="7" customFormat="1" ht="1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</row>
    <row r="1573" spans="1:50" s="7" customFormat="1" ht="1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</row>
    <row r="1574" spans="1:50" s="7" customFormat="1" ht="1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</row>
    <row r="1575" spans="1:50" s="7" customFormat="1" ht="1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</row>
    <row r="1576" spans="1:50" s="7" customFormat="1" ht="1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</row>
    <row r="1577" spans="1:50" s="7" customFormat="1" ht="1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</row>
    <row r="1578" spans="1:50" s="7" customFormat="1" ht="1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</row>
    <row r="1579" spans="1:50" s="7" customFormat="1" ht="1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</row>
    <row r="1580" spans="1:50" s="7" customFormat="1" ht="1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</row>
    <row r="1581" spans="1:50" s="7" customFormat="1" ht="1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</row>
    <row r="1582" spans="1:50" s="7" customFormat="1" ht="1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</row>
    <row r="1583" spans="1:50" s="7" customFormat="1" ht="1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</row>
    <row r="1584" spans="1:50" s="7" customFormat="1" ht="1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</row>
    <row r="1585" spans="1:50" s="7" customFormat="1" ht="1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</row>
    <row r="1586" spans="1:50" s="7" customFormat="1" ht="1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</row>
    <row r="1587" spans="1:50" s="7" customFormat="1" ht="1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</row>
    <row r="1588" spans="1:50" s="7" customFormat="1" ht="1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</row>
    <row r="1589" spans="1:50" s="7" customFormat="1" ht="1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</row>
    <row r="1590" spans="1:50" s="7" customFormat="1" ht="1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</row>
    <row r="1591" spans="1:50" s="7" customFormat="1" ht="1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</row>
    <row r="1592" spans="1:50" s="7" customFormat="1" ht="1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</row>
    <row r="1593" spans="1:50" s="7" customFormat="1" ht="1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</row>
    <row r="1594" spans="1:50" s="7" customFormat="1" ht="1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</row>
    <row r="1595" spans="1:50" s="7" customFormat="1" ht="1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</row>
    <row r="1596" spans="1:50" s="7" customFormat="1" ht="1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</row>
    <row r="1597" spans="1:50" s="7" customFormat="1" ht="1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</row>
    <row r="1598" spans="1:50" s="7" customFormat="1" ht="1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</row>
    <row r="1599" spans="1:50" s="7" customFormat="1" ht="1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</row>
    <row r="1600" spans="1:50" s="7" customFormat="1" ht="1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</row>
    <row r="1601" spans="1:50" s="7" customFormat="1" ht="1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</row>
    <row r="1602" spans="1:50" s="7" customFormat="1" ht="1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</row>
    <row r="1603" spans="1:50" s="7" customFormat="1" ht="1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</row>
    <row r="1604" spans="1:50" s="7" customFormat="1" ht="1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</row>
    <row r="1605" spans="1:50" s="7" customFormat="1" ht="1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</row>
    <row r="1606" spans="1:50" s="7" customFormat="1" ht="1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</row>
    <row r="1607" spans="1:50" s="7" customFormat="1" ht="1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</row>
    <row r="1608" spans="1:50" s="7" customFormat="1" ht="1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</row>
    <row r="1609" spans="1:50" s="7" customFormat="1" ht="1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</row>
    <row r="1610" spans="1:50" s="7" customFormat="1" ht="1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</row>
    <row r="1611" spans="1:50" s="7" customFormat="1" ht="1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</row>
    <row r="1612" spans="1:50" s="7" customFormat="1" ht="1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</row>
    <row r="1613" spans="1:50" s="7" customFormat="1" ht="1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</row>
    <row r="1614" spans="1:50" s="7" customFormat="1" ht="1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</row>
    <row r="1615" spans="1:50" s="7" customFormat="1" ht="1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</row>
    <row r="1616" spans="1:50" s="7" customFormat="1" ht="1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</row>
    <row r="1617" spans="1:50" s="7" customFormat="1" ht="1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</row>
    <row r="1618" spans="1:50" s="7" customFormat="1" ht="1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</row>
    <row r="1619" spans="1:50" s="7" customFormat="1" ht="1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</row>
    <row r="1620" spans="1:50" s="7" customFormat="1" ht="1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</row>
    <row r="1621" spans="1:50" s="7" customFormat="1" ht="1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</row>
    <row r="1622" spans="1:50" s="7" customFormat="1" ht="1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</row>
    <row r="1623" spans="1:50" s="7" customFormat="1" ht="1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</row>
    <row r="1624" spans="1:50" s="7" customFormat="1" ht="1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</row>
    <row r="1625" spans="1:50" s="7" customFormat="1" ht="1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</row>
    <row r="1626" spans="1:50" s="7" customFormat="1" ht="1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</row>
    <row r="1627" spans="1:50" s="7" customFormat="1" ht="1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</row>
    <row r="1628" spans="1:50" s="7" customFormat="1" ht="1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</row>
    <row r="1629" spans="1:50" s="7" customFormat="1" ht="1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</row>
    <row r="1630" spans="1:50" s="7" customFormat="1" ht="1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</row>
    <row r="1631" spans="1:50" s="7" customFormat="1" ht="1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</row>
    <row r="1632" spans="1:50" s="7" customFormat="1" ht="1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</row>
    <row r="1633" spans="1:50" s="7" customFormat="1" ht="1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</row>
    <row r="1634" spans="1:50" s="7" customFormat="1" ht="1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</row>
    <row r="1635" spans="1:50" s="7" customFormat="1" ht="1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</row>
    <row r="1636" spans="1:50" s="7" customFormat="1" ht="1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</row>
    <row r="1637" spans="1:50" s="7" customFormat="1" ht="1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</row>
    <row r="1638" spans="1:50" s="7" customFormat="1" ht="1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</row>
    <row r="1639" spans="1:50" s="7" customFormat="1" ht="1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</row>
    <row r="1640" spans="1:50" s="7" customFormat="1" ht="1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</row>
    <row r="1641" spans="1:50" s="7" customFormat="1" ht="1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</row>
    <row r="1642" spans="1:50" s="7" customFormat="1" ht="1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</row>
    <row r="1643" spans="1:50" s="7" customFormat="1" ht="1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</row>
    <row r="1644" spans="1:50" s="7" customFormat="1" ht="1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</row>
    <row r="1645" spans="1:50" s="7" customFormat="1" ht="1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</row>
    <row r="1646" spans="1:50" s="7" customFormat="1" ht="1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</row>
    <row r="1647" spans="1:50" s="7" customFormat="1" ht="1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</row>
    <row r="1648" spans="1:50" s="7" customFormat="1" ht="1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</row>
    <row r="1649" spans="1:50" s="7" customFormat="1" ht="1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</row>
    <row r="1650" spans="1:50" s="7" customFormat="1" ht="1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</row>
    <row r="1651" spans="1:50" s="7" customFormat="1" ht="1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</row>
    <row r="1652" spans="1:50" s="7" customFormat="1" ht="1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</row>
    <row r="1653" spans="1:50" s="7" customFormat="1" ht="1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</row>
    <row r="1654" spans="1:50" s="7" customFormat="1" ht="1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</row>
    <row r="1655" spans="1:50" s="7" customFormat="1" ht="1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</row>
    <row r="1656" spans="1:50" s="7" customFormat="1" ht="1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</row>
    <row r="1657" spans="1:50" s="7" customFormat="1" ht="1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</row>
    <row r="1658" spans="1:50" s="7" customFormat="1" ht="1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</row>
    <row r="1659" spans="1:50" s="7" customFormat="1" ht="1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</row>
    <row r="1660" spans="1:50" s="7" customFormat="1" ht="1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</row>
    <row r="1661" spans="1:50" s="7" customFormat="1" ht="1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</row>
    <row r="1662" spans="1:50" s="7" customFormat="1" ht="1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</row>
    <row r="1663" spans="1:50" s="7" customFormat="1" ht="1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</row>
    <row r="1664" spans="1:50" s="7" customFormat="1" ht="1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</row>
    <row r="1665" spans="1:50" s="7" customFormat="1" ht="1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</row>
    <row r="1666" spans="1:50" s="7" customFormat="1" ht="1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</row>
    <row r="1667" spans="1:50" s="7" customFormat="1" ht="1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</row>
    <row r="1668" spans="1:50" s="7" customFormat="1" ht="1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</row>
    <row r="1669" spans="1:50" s="7" customFormat="1" ht="1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</row>
    <row r="1670" spans="1:50" s="7" customFormat="1" ht="1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</row>
    <row r="1671" spans="1:50" s="7" customFormat="1" ht="1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</row>
    <row r="1672" spans="1:50" s="7" customFormat="1" ht="1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</row>
    <row r="1673" spans="1:50" s="7" customFormat="1" ht="1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</row>
    <row r="1674" spans="1:50" s="7" customFormat="1" ht="1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</row>
    <row r="1675" spans="1:50" s="7" customFormat="1" ht="1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</row>
    <row r="1676" spans="1:50" s="7" customFormat="1" ht="1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</row>
    <row r="1677" spans="1:50" s="7" customFormat="1" ht="1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</row>
    <row r="1678" spans="1:50" s="7" customFormat="1" ht="1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</row>
    <row r="1679" spans="1:50" s="7" customFormat="1" ht="1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</row>
    <row r="1680" spans="1:50" s="7" customFormat="1" ht="1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</row>
    <row r="1681" spans="1:50" s="7" customFormat="1" ht="1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</row>
    <row r="1682" spans="1:50" s="7" customFormat="1" ht="1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</row>
    <row r="1683" spans="1:50" s="7" customFormat="1" ht="1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</row>
    <row r="1684" spans="1:50" s="7" customFormat="1" ht="1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</row>
    <row r="1685" spans="1:50" s="7" customFormat="1" ht="1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</row>
    <row r="1686" spans="1:50" s="7" customFormat="1" ht="1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</row>
    <row r="1687" spans="1:50" s="7" customFormat="1" ht="1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</row>
    <row r="1688" spans="1:50" s="7" customFormat="1" ht="1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</row>
    <row r="1689" spans="1:50" s="7" customFormat="1" ht="1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</row>
    <row r="1690" spans="1:50" s="7" customFormat="1" ht="1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</row>
    <row r="1691" spans="1:50" s="7" customFormat="1" ht="1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</row>
    <row r="1692" spans="1:50" s="7" customFormat="1" ht="1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</row>
    <row r="1693" spans="1:50" s="7" customFormat="1" ht="1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</row>
    <row r="1694" spans="1:50" s="7" customFormat="1" ht="1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</row>
    <row r="1695" spans="1:50" s="7" customFormat="1" ht="1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</row>
    <row r="1696" spans="1:50" s="7" customFormat="1" ht="1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</row>
    <row r="1697" spans="1:50" s="7" customFormat="1" ht="1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</row>
    <row r="1698" spans="1:50" s="7" customFormat="1" ht="1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</row>
    <row r="1699" spans="1:50" s="7" customFormat="1" ht="1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</row>
    <row r="1700" spans="1:50" s="7" customFormat="1" ht="1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</row>
    <row r="1701" spans="1:50" s="7" customFormat="1" ht="1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</row>
    <row r="1702" spans="1:50" s="7" customFormat="1" ht="1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</row>
    <row r="1703" spans="1:50" s="7" customFormat="1" ht="1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</row>
    <row r="1704" spans="1:50" s="7" customFormat="1" ht="1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</row>
    <row r="1705" spans="1:50" s="7" customFormat="1" ht="1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</row>
    <row r="1706" spans="1:50" s="7" customFormat="1" ht="1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</row>
    <row r="1707" spans="1:50" s="7" customFormat="1" ht="1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</row>
    <row r="1708" spans="1:50" s="7" customFormat="1" ht="1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</row>
    <row r="1709" spans="1:50" s="7" customFormat="1" ht="1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</row>
    <row r="1710" spans="1:50" s="7" customFormat="1" ht="1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</row>
    <row r="1711" spans="1:50" s="7" customFormat="1" ht="1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</row>
    <row r="1712" spans="1:50" s="7" customFormat="1" ht="1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</row>
    <row r="1713" spans="1:50" s="7" customFormat="1" ht="1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</row>
    <row r="1714" spans="1:50" s="7" customFormat="1" ht="1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</row>
    <row r="1715" spans="1:50" s="7" customFormat="1" ht="1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</row>
    <row r="1716" spans="1:50" s="7" customFormat="1" ht="1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</row>
    <row r="1717" spans="1:50" s="7" customFormat="1" ht="1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</row>
    <row r="1718" spans="1:50" s="7" customFormat="1" ht="1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</row>
    <row r="1719" spans="1:50" s="7" customFormat="1" ht="1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</row>
    <row r="1720" spans="1:50" s="7" customFormat="1" ht="1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</row>
    <row r="1721" spans="1:50" s="7" customFormat="1" ht="1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</row>
    <row r="1722" spans="1:50" s="7" customFormat="1" ht="1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</row>
    <row r="1723" spans="1:50" s="7" customFormat="1" ht="1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</row>
    <row r="1724" spans="1:50" s="7" customFormat="1" ht="1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</row>
    <row r="1725" spans="1:50" s="7" customFormat="1" ht="1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</row>
    <row r="1726" spans="1:50" s="7" customFormat="1" ht="1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</row>
    <row r="1727" spans="1:50" s="7" customFormat="1" ht="1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</row>
    <row r="1728" spans="1:50" s="7" customFormat="1" ht="1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</row>
    <row r="1729" spans="1:50" s="7" customFormat="1" ht="1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</row>
    <row r="1730" spans="1:50" s="7" customFormat="1" ht="1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</row>
    <row r="1731" spans="1:50" s="7" customFormat="1" ht="1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</row>
    <row r="1732" spans="1:50" s="7" customFormat="1" ht="1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</row>
    <row r="1733" spans="1:50" s="7" customFormat="1" ht="1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</row>
    <row r="1734" spans="1:50" s="7" customFormat="1" ht="1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</row>
    <row r="1735" spans="1:50" s="7" customFormat="1" ht="1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</row>
    <row r="1736" spans="1:50" s="7" customFormat="1" ht="1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</row>
    <row r="1737" spans="1:50" s="7" customFormat="1" ht="1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</row>
    <row r="1738" spans="1:50" s="7" customFormat="1" ht="1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</row>
    <row r="1739" spans="1:50" s="7" customFormat="1" ht="1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</row>
    <row r="1740" spans="1:50" s="7" customFormat="1" ht="1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</row>
    <row r="1741" spans="1:50" s="7" customFormat="1" ht="1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</row>
    <row r="1742" spans="1:50" s="7" customFormat="1" ht="1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</row>
    <row r="1743" spans="1:50" s="7" customFormat="1" ht="1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</row>
    <row r="1744" spans="1:50" s="7" customFormat="1" ht="1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</row>
    <row r="1745" spans="1:50" s="7" customFormat="1" ht="1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</row>
    <row r="1746" spans="1:50" s="7" customFormat="1" ht="1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</row>
    <row r="1747" spans="1:50" s="7" customFormat="1" ht="1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</row>
    <row r="1748" spans="1:50" s="7" customFormat="1" ht="1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</row>
    <row r="1749" spans="1:50" s="7" customFormat="1" ht="1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</row>
    <row r="1750" spans="1:50" s="7" customFormat="1" ht="1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</row>
    <row r="1751" spans="1:50" s="7" customFormat="1" ht="1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</row>
    <row r="1752" spans="1:50" s="7" customFormat="1" ht="1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</row>
    <row r="1753" spans="1:50" s="7" customFormat="1" ht="1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</row>
    <row r="1754" spans="1:50" s="7" customFormat="1" ht="1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</row>
    <row r="1755" spans="1:50" s="7" customFormat="1" ht="1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</row>
    <row r="1756" spans="1:50" s="7" customFormat="1" ht="1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</row>
    <row r="1757" spans="1:50" s="7" customFormat="1" ht="1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</row>
    <row r="1758" spans="1:50" s="7" customFormat="1" ht="1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</row>
    <row r="1759" spans="1:50" s="7" customFormat="1" ht="1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</row>
    <row r="1760" spans="1:50" s="7" customFormat="1" ht="1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</row>
    <row r="1761" spans="1:50" s="7" customFormat="1" ht="1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</row>
    <row r="1762" spans="1:50" s="7" customFormat="1" ht="1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</row>
    <row r="1763" spans="1:50" s="7" customFormat="1" ht="1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</row>
    <row r="1764" spans="1:50" s="7" customFormat="1" ht="1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</row>
    <row r="1765" spans="1:50" s="7" customFormat="1" ht="1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</row>
    <row r="1766" spans="1:50" s="7" customFormat="1" ht="1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</row>
    <row r="1767" spans="1:50" s="7" customFormat="1" ht="1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</row>
    <row r="1768" spans="1:50" s="7" customFormat="1" ht="1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</row>
    <row r="1769" spans="1:50" s="7" customFormat="1" ht="1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</row>
    <row r="1770" spans="1:50" s="7" customFormat="1" ht="1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</row>
    <row r="1771" spans="1:50" s="7" customFormat="1" ht="1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</row>
    <row r="1772" spans="1:50" s="7" customFormat="1" ht="1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</row>
    <row r="1773" spans="1:50" s="7" customFormat="1" ht="1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</row>
    <row r="1774" spans="1:50" s="7" customFormat="1" ht="1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</row>
    <row r="1775" spans="1:50" s="7" customFormat="1" ht="1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</row>
    <row r="1776" spans="1:50" s="7" customFormat="1" ht="1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</row>
    <row r="1777" spans="1:50" s="7" customFormat="1" ht="1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</row>
    <row r="1778" spans="1:50" s="7" customFormat="1" ht="1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</row>
    <row r="1779" spans="1:50" s="7" customFormat="1" ht="1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</row>
    <row r="1780" spans="1:50" s="7" customFormat="1" ht="1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</row>
    <row r="1781" spans="1:50" s="7" customFormat="1" ht="1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</row>
    <row r="1782" spans="1:50" s="7" customFormat="1" ht="1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</row>
    <row r="1783" spans="1:50" s="7" customFormat="1" ht="1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</row>
    <row r="1784" spans="1:50" s="7" customFormat="1" ht="1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</row>
    <row r="1785" spans="1:50" s="7" customFormat="1" ht="1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</row>
    <row r="1786" spans="1:50" s="7" customFormat="1" ht="1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</row>
    <row r="1787" spans="1:50" s="7" customFormat="1" ht="1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</row>
    <row r="1788" spans="1:50" s="7" customFormat="1" ht="1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</row>
    <row r="1789" spans="1:50" s="7" customFormat="1" ht="1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</row>
    <row r="1790" spans="1:50" s="7" customFormat="1" ht="1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</row>
    <row r="1791" spans="1:50" s="7" customFormat="1" ht="1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</row>
    <row r="1792" spans="1:50" s="7" customFormat="1" ht="1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</row>
    <row r="1793" spans="1:50" s="7" customFormat="1" ht="1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</row>
    <row r="1794" spans="1:50" s="7" customFormat="1" ht="1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</row>
    <row r="1795" spans="1:50" s="7" customFormat="1" ht="1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</row>
    <row r="1796" spans="1:50" s="7" customFormat="1" ht="1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</row>
    <row r="1797" spans="1:50" s="7" customFormat="1" ht="1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</row>
    <row r="1798" spans="1:50" s="7" customFormat="1" ht="1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</row>
    <row r="1799" spans="1:50" s="7" customFormat="1" ht="1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</row>
    <row r="1800" spans="1:50" s="7" customFormat="1" ht="1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</row>
    <row r="1801" spans="1:50" s="7" customFormat="1" ht="1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</row>
    <row r="1802" spans="1:50" s="7" customFormat="1" ht="1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</row>
    <row r="1803" spans="1:50" s="7" customFormat="1" ht="1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</row>
    <row r="1804" spans="1:50" s="7" customFormat="1" ht="1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</row>
    <row r="1805" spans="1:50" s="7" customFormat="1" ht="1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</row>
    <row r="1806" spans="1:50" s="7" customFormat="1" ht="1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</row>
    <row r="1807" spans="1:50" s="7" customFormat="1" ht="1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</row>
    <row r="1808" spans="1:50" s="7" customFormat="1" ht="1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</row>
    <row r="1809" spans="1:50" s="7" customFormat="1" ht="1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</row>
    <row r="1810" spans="1:50" s="7" customFormat="1" ht="1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</row>
    <row r="1811" spans="1:50" s="7" customFormat="1" ht="1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</row>
    <row r="1812" spans="1:50" s="7" customFormat="1" ht="1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</row>
    <row r="1813" spans="1:50" s="7" customFormat="1" ht="1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</row>
    <row r="1814" spans="1:50" s="7" customFormat="1" ht="1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</row>
    <row r="1815" spans="1:50" s="7" customFormat="1" ht="1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</row>
    <row r="1816" spans="1:50" s="7" customFormat="1" ht="1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</row>
    <row r="1817" spans="1:50" s="7" customFormat="1" ht="1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</row>
    <row r="1818" spans="1:50" s="7" customFormat="1" ht="1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</row>
    <row r="1819" spans="1:50" s="7" customFormat="1" ht="1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</row>
    <row r="1820" spans="1:50" s="7" customFormat="1" ht="1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</row>
    <row r="1821" spans="1:50" s="7" customFormat="1" ht="1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</row>
    <row r="1822" spans="1:50" s="7" customFormat="1" ht="1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</row>
    <row r="1823" spans="1:50" s="7" customFormat="1" ht="1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</row>
    <row r="1824" spans="1:50" s="7" customFormat="1" ht="1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</row>
    <row r="1825" spans="1:50" s="7" customFormat="1" ht="1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</row>
    <row r="1826" spans="1:50" s="7" customFormat="1" ht="1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</row>
    <row r="1827" spans="1:50" s="7" customFormat="1" ht="1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</row>
    <row r="1828" spans="1:50" s="7" customFormat="1" ht="1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</row>
    <row r="1829" spans="1:50" s="7" customFormat="1" ht="1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</row>
    <row r="1830" spans="1:50" s="7" customFormat="1" ht="1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</row>
    <row r="1831" spans="1:50" s="7" customFormat="1" ht="1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</row>
    <row r="1832" spans="1:50" s="7" customFormat="1" ht="1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</row>
    <row r="1833" spans="1:50" s="7" customFormat="1" ht="1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</row>
    <row r="1834" spans="1:50" s="7" customFormat="1" ht="1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</row>
    <row r="1835" spans="1:50" s="7" customFormat="1" ht="1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</row>
    <row r="1836" spans="1:50" s="7" customFormat="1" ht="1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</row>
    <row r="1837" spans="1:50" s="7" customFormat="1" ht="1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</row>
    <row r="1838" spans="1:50" s="7" customFormat="1" ht="1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</row>
    <row r="1839" spans="1:50" s="7" customFormat="1" ht="1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</row>
    <row r="1840" spans="1:50" s="7" customFormat="1" ht="1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</row>
    <row r="1841" spans="1:50" s="7" customFormat="1" ht="1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</row>
    <row r="1842" spans="1:50" s="7" customFormat="1" ht="1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</row>
    <row r="1843" spans="1:50" s="7" customFormat="1" ht="1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</row>
    <row r="1844" spans="1:50" s="7" customFormat="1" ht="1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</row>
    <row r="1845" spans="1:50" s="7" customFormat="1" ht="1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</row>
    <row r="1846" spans="1:50" s="7" customFormat="1" ht="1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</row>
    <row r="1847" spans="1:50" s="7" customFormat="1" ht="1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</row>
    <row r="1848" spans="1:50" s="7" customFormat="1" ht="1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</row>
    <row r="1849" spans="1:50" s="7" customFormat="1" ht="1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</row>
    <row r="1850" spans="1:50" s="7" customFormat="1" ht="1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</row>
    <row r="1851" spans="1:50" s="7" customFormat="1" ht="1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</row>
    <row r="1852" spans="1:50" s="7" customFormat="1" ht="1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</row>
    <row r="1853" spans="1:50" s="7" customFormat="1" ht="1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</row>
    <row r="1854" spans="1:50" s="7" customFormat="1" ht="1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</row>
    <row r="1855" spans="1:50" s="7" customFormat="1" ht="1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</row>
    <row r="1856" spans="1:50" s="7" customFormat="1" ht="1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</row>
    <row r="1857" spans="1:50" s="7" customFormat="1" ht="1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</row>
    <row r="1858" spans="1:50" s="7" customFormat="1" ht="1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</row>
    <row r="1859" spans="1:50" s="7" customFormat="1" ht="1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</row>
    <row r="1860" spans="1:50" s="7" customFormat="1" ht="1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</row>
    <row r="1861" spans="1:50" s="7" customFormat="1" ht="1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</row>
    <row r="1862" spans="1:50" s="7" customFormat="1" ht="1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</row>
    <row r="1863" spans="1:50" s="7" customFormat="1" ht="1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</row>
    <row r="1864" spans="1:50" s="7" customFormat="1" ht="1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</row>
    <row r="1865" spans="1:50" s="7" customFormat="1" ht="1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</row>
    <row r="1866" spans="1:50" s="7" customFormat="1" ht="1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</row>
    <row r="1867" spans="1:50" s="7" customFormat="1" ht="1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</row>
    <row r="1868" spans="1:50" s="7" customFormat="1" ht="1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</row>
    <row r="1869" spans="1:50" s="7" customFormat="1" ht="1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</row>
    <row r="1870" spans="1:50" s="7" customFormat="1" ht="1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</row>
    <row r="1871" spans="1:50" s="7" customFormat="1" ht="1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</row>
    <row r="1872" spans="1:50" s="7" customFormat="1" ht="1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</row>
    <row r="1873" spans="1:50" s="7" customFormat="1" ht="1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</row>
    <row r="1874" spans="1:50" s="7" customFormat="1" ht="1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</row>
    <row r="1875" spans="1:50" s="7" customFormat="1" ht="1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</row>
    <row r="1876" spans="1:50" s="7" customFormat="1" ht="1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</row>
    <row r="1877" spans="1:50" s="7" customFormat="1" ht="1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</row>
    <row r="1878" spans="1:50" s="7" customFormat="1" ht="1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</row>
    <row r="1879" spans="1:50" s="7" customFormat="1" ht="1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</row>
    <row r="1880" spans="1:50" s="7" customFormat="1" ht="1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</row>
    <row r="1881" spans="1:50" s="7" customFormat="1" ht="1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</row>
    <row r="1882" spans="1:50" s="7" customFormat="1" ht="1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</row>
    <row r="1883" spans="1:50" s="7" customFormat="1" ht="1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</row>
    <row r="1884" spans="1:50" s="7" customFormat="1" ht="1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</row>
    <row r="1885" spans="1:50" s="7" customFormat="1" ht="1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</row>
    <row r="1886" spans="1:50" s="7" customFormat="1" ht="1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</row>
    <row r="1887" spans="1:50" s="7" customFormat="1" ht="1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</row>
    <row r="1888" spans="1:50" s="7" customFormat="1" ht="1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</row>
    <row r="1889" spans="1:50" s="7" customFormat="1" ht="1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</row>
    <row r="1890" spans="1:50" s="7" customFormat="1" ht="1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</row>
    <row r="1891" spans="1:50" s="7" customFormat="1" ht="1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</row>
    <row r="1892" spans="1:50" s="7" customFormat="1" ht="1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</row>
    <row r="1893" spans="1:50" s="7" customFormat="1" ht="1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</row>
    <row r="1894" spans="1:50" s="7" customFormat="1" ht="1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</row>
    <row r="1895" spans="1:50" s="7" customFormat="1" ht="1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</row>
    <row r="1896" spans="1:50" s="7" customFormat="1" ht="1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</row>
    <row r="1897" spans="1:50" s="7" customFormat="1" ht="1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</row>
    <row r="1898" spans="1:50" s="7" customFormat="1" ht="1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</row>
    <row r="1899" spans="1:50" s="7" customFormat="1" ht="1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</row>
    <row r="1900" spans="1:50" s="7" customFormat="1" ht="1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</row>
    <row r="1901" spans="1:50" s="7" customFormat="1" ht="1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</row>
    <row r="1902" spans="1:50" s="7" customFormat="1" ht="1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</row>
    <row r="1903" spans="1:50" s="7" customFormat="1" ht="1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</row>
    <row r="1904" spans="1:50" s="7" customFormat="1" ht="1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</row>
    <row r="1905" spans="1:50" s="7" customFormat="1" ht="1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</row>
    <row r="1906" spans="1:50" s="7" customFormat="1" ht="1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</row>
    <row r="1907" spans="1:50" s="7" customFormat="1" ht="1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</row>
    <row r="1908" spans="1:50" s="7" customFormat="1" ht="1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</row>
    <row r="1909" spans="1:50" s="7" customFormat="1" ht="1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</row>
    <row r="1910" spans="1:50" s="7" customFormat="1" ht="1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</row>
    <row r="1911" spans="1:50" s="7" customFormat="1" ht="1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</row>
    <row r="1912" spans="1:50" s="7" customFormat="1" ht="1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</row>
    <row r="1913" spans="1:50" s="7" customFormat="1" ht="1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</row>
    <row r="1914" spans="1:50" s="7" customFormat="1" ht="1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</row>
    <row r="1915" spans="1:50" s="7" customFormat="1" ht="1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</row>
    <row r="1916" spans="1:50" s="7" customFormat="1" ht="1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</row>
    <row r="1917" spans="1:50" s="7" customFormat="1" ht="1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</row>
    <row r="1918" spans="1:50" s="7" customFormat="1" ht="1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</row>
    <row r="1919" spans="1:50" s="7" customFormat="1" ht="1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</row>
    <row r="1920" spans="1:50" s="7" customFormat="1" ht="1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</row>
    <row r="1921" spans="1:50" s="7" customFormat="1" ht="1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</row>
    <row r="1922" spans="1:50" s="7" customFormat="1" ht="1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</row>
    <row r="1923" spans="1:50" s="7" customFormat="1" ht="1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</row>
    <row r="1924" spans="1:50" s="7" customFormat="1" ht="1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</row>
    <row r="1925" spans="1:50" s="7" customFormat="1" ht="1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</row>
    <row r="1926" spans="1:50" s="7" customFormat="1" ht="1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</row>
    <row r="1927" spans="1:50" s="7" customFormat="1" ht="1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</row>
    <row r="1928" spans="1:50" s="7" customFormat="1" ht="1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</row>
    <row r="1929" spans="1:50" s="7" customFormat="1" ht="1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</row>
    <row r="1930" spans="1:50" s="7" customFormat="1" ht="1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</row>
    <row r="1931" spans="1:50" s="7" customFormat="1" ht="1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</row>
    <row r="1932" spans="1:50" s="7" customFormat="1" ht="1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</row>
    <row r="1933" spans="1:50" s="7" customFormat="1" ht="1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</row>
    <row r="1934" spans="1:50" s="7" customFormat="1" ht="1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</row>
    <row r="1935" spans="1:50" s="7" customFormat="1" ht="1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</row>
    <row r="1936" spans="1:50" s="7" customFormat="1" ht="1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</row>
    <row r="1937" spans="1:50" s="7" customFormat="1" ht="1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</row>
    <row r="1938" spans="1:50" s="7" customFormat="1" ht="1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</row>
    <row r="1939" spans="1:50" s="7" customFormat="1" ht="1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</row>
    <row r="1940" spans="1:50" s="7" customFormat="1" ht="1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</row>
    <row r="1941" spans="1:50" s="7" customFormat="1" ht="1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</row>
    <row r="1942" spans="1:50" s="7" customFormat="1" ht="1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</row>
    <row r="1943" spans="1:50" s="7" customFormat="1" ht="1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</row>
    <row r="1944" spans="1:50" s="7" customFormat="1" ht="1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</row>
    <row r="1945" spans="1:50" s="7" customFormat="1" ht="1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</row>
    <row r="1946" spans="1:50" s="7" customFormat="1" ht="1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</row>
    <row r="1947" spans="1:50" s="7" customFormat="1" ht="1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</row>
    <row r="1948" spans="1:50" s="7" customFormat="1" ht="1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</row>
    <row r="1949" spans="1:50" s="7" customFormat="1" ht="1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</row>
    <row r="1950" spans="1:50" s="7" customFormat="1" ht="1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</row>
    <row r="1951" spans="1:50" s="7" customFormat="1" ht="1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</row>
    <row r="1952" spans="1:50" s="7" customFormat="1" ht="1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</row>
    <row r="1953" spans="1:50" s="7" customFormat="1" ht="1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</row>
    <row r="1954" spans="1:50" s="7" customFormat="1" ht="1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</row>
    <row r="1955" spans="1:50" s="7" customFormat="1" ht="1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</row>
    <row r="1956" spans="1:50" s="7" customFormat="1" ht="1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</row>
    <row r="1957" spans="1:50" s="7" customFormat="1" ht="1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</row>
    <row r="1958" spans="1:50" s="7" customFormat="1" ht="1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</row>
    <row r="1959" spans="1:50" s="7" customFormat="1" ht="1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</row>
    <row r="1960" spans="1:50" s="7" customFormat="1" ht="1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</row>
    <row r="1961" spans="1:50" s="7" customFormat="1" ht="1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</row>
    <row r="1962" spans="1:50" s="7" customFormat="1" ht="1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</row>
    <row r="1963" spans="1:50" s="7" customFormat="1" ht="1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</row>
    <row r="1964" spans="1:50" s="7" customFormat="1" ht="1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</row>
    <row r="1965" spans="1:50" s="7" customFormat="1" ht="1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</row>
    <row r="1966" spans="1:50" s="7" customFormat="1" ht="1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</row>
    <row r="1967" spans="1:50" s="7" customFormat="1" ht="1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</row>
    <row r="1968" spans="1:50" s="7" customFormat="1" ht="1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</row>
    <row r="1969" spans="1:50" s="7" customFormat="1" ht="1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</row>
    <row r="1970" spans="1:50" s="7" customFormat="1" ht="1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</row>
    <row r="1971" spans="1:50" s="7" customFormat="1" ht="1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</row>
    <row r="1972" spans="1:50" s="7" customFormat="1" ht="1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</row>
    <row r="1973" spans="1:50" s="7" customFormat="1" ht="1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</row>
    <row r="1974" spans="1:50" s="7" customFormat="1" ht="1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</row>
    <row r="1975" spans="1:50" s="7" customFormat="1" ht="1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</row>
    <row r="1976" spans="1:50" s="7" customFormat="1" ht="1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</row>
    <row r="1977" spans="1:50" s="7" customFormat="1" ht="1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</row>
    <row r="1978" spans="1:50" s="7" customFormat="1" ht="1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</row>
    <row r="1979" spans="1:50" s="7" customFormat="1" ht="1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</row>
    <row r="1980" spans="1:50" s="7" customFormat="1" ht="1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</row>
    <row r="1981" spans="1:50" s="7" customFormat="1" ht="1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</row>
    <row r="1982" spans="1:50" s="7" customFormat="1" ht="1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</row>
    <row r="1983" spans="1:50" s="7" customFormat="1" ht="1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</row>
    <row r="1984" spans="1:50" s="7" customFormat="1" ht="1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</row>
    <row r="1985" spans="1:50" s="7" customFormat="1" ht="1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</row>
    <row r="1986" spans="1:50" s="7" customFormat="1" ht="1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</row>
    <row r="1987" spans="1:50" s="7" customFormat="1" ht="1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</row>
    <row r="1988" spans="1:50" s="7" customFormat="1" ht="1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</row>
    <row r="1989" spans="1:50" s="7" customFormat="1" ht="1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</row>
    <row r="1990" spans="1:50" s="7" customFormat="1" ht="1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</row>
    <row r="1991" spans="1:50" s="7" customFormat="1" ht="1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</row>
    <row r="1992" spans="1:50" s="7" customFormat="1" ht="1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</row>
    <row r="1993" spans="1:50" s="7" customFormat="1" ht="1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</row>
    <row r="1994" spans="1:50" s="7" customFormat="1" ht="1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</row>
    <row r="1995" spans="1:50" s="7" customFormat="1" ht="1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</row>
    <row r="1996" spans="1:50" s="7" customFormat="1" ht="1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</row>
    <row r="1997" spans="1:50" s="7" customFormat="1" ht="1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</row>
    <row r="1998" spans="1:50" s="7" customFormat="1" ht="1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</row>
    <row r="1999" spans="1:50" s="7" customFormat="1" ht="1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</row>
    <row r="2000" spans="1:50" s="7" customFormat="1" ht="1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</row>
    <row r="2001" spans="1:50" s="7" customFormat="1" ht="1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</row>
    <row r="2002" spans="1:50" s="7" customFormat="1" ht="1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</row>
    <row r="2003" spans="1:50" s="7" customFormat="1" ht="1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</row>
    <row r="2004" spans="1:50" s="7" customFormat="1" ht="1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</row>
    <row r="2005" spans="1:50" s="7" customFormat="1" ht="1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</row>
    <row r="2006" spans="1:50" s="7" customFormat="1" ht="1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</row>
    <row r="2007" spans="1:50" s="7" customFormat="1" ht="1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</row>
    <row r="2008" spans="1:50" s="7" customFormat="1" ht="1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</row>
    <row r="2009" spans="1:50" s="7" customFormat="1" ht="1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</row>
    <row r="2010" spans="1:50" s="7" customFormat="1" ht="1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</row>
    <row r="2011" spans="1:50" s="7" customFormat="1" ht="1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</row>
    <row r="2012" spans="1:50" s="7" customFormat="1" ht="1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</row>
    <row r="2013" spans="1:50" s="7" customFormat="1" ht="1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</row>
    <row r="2014" spans="1:50" s="7" customFormat="1" ht="1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</row>
    <row r="2015" spans="1:50" s="7" customFormat="1" ht="1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</row>
    <row r="2016" spans="1:50" s="7" customFormat="1" ht="1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</row>
    <row r="2017" spans="1:50" s="7" customFormat="1" ht="1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</row>
    <row r="2018" spans="1:50" s="7" customFormat="1" ht="1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</row>
    <row r="2019" spans="1:50" s="7" customFormat="1" ht="1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</row>
    <row r="2020" spans="1:50" s="7" customFormat="1" ht="1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</row>
    <row r="2021" spans="1:50" s="7" customFormat="1" ht="1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</row>
    <row r="2022" spans="1:50" s="7" customFormat="1" ht="1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</row>
    <row r="2023" spans="1:50" s="7" customFormat="1" ht="1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</row>
    <row r="2024" spans="1:50" s="7" customFormat="1" ht="1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</row>
    <row r="2025" spans="1:50" s="7" customFormat="1" ht="1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</row>
    <row r="2026" spans="1:50" s="7" customFormat="1" ht="1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</row>
    <row r="2027" spans="1:50" s="7" customFormat="1" ht="1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</row>
    <row r="2028" spans="1:50" s="7" customFormat="1" ht="1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</row>
    <row r="2029" spans="1:50" s="7" customFormat="1" ht="1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</row>
    <row r="2030" spans="1:50" s="7" customFormat="1" ht="1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</row>
    <row r="2031" spans="1:50" s="7" customFormat="1" ht="1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</row>
    <row r="2032" spans="1:50" s="7" customFormat="1" ht="1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</row>
    <row r="2033" spans="1:50" s="7" customFormat="1" ht="1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</row>
    <row r="2034" spans="1:50" s="7" customFormat="1" ht="1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</row>
    <row r="2035" spans="1:50" s="7" customFormat="1" ht="1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</row>
    <row r="2036" spans="1:50" s="7" customFormat="1" ht="1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</row>
    <row r="2037" spans="1:50" s="7" customFormat="1" ht="1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</row>
    <row r="2038" spans="1:50" s="7" customFormat="1" ht="1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</row>
    <row r="2039" spans="1:50" s="7" customFormat="1" ht="1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</row>
    <row r="2040" spans="1:50" s="7" customFormat="1" ht="1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</row>
    <row r="2041" spans="1:50" s="7" customFormat="1" ht="1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</row>
    <row r="2042" spans="1:50" s="7" customFormat="1" ht="1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</row>
    <row r="2043" spans="1:50" s="7" customFormat="1" ht="1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</row>
    <row r="2044" spans="1:50" s="7" customFormat="1" ht="1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</row>
    <row r="2045" spans="1:50" s="7" customFormat="1" ht="1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</row>
    <row r="2046" spans="1:50" s="7" customFormat="1" ht="1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</row>
    <row r="2047" spans="1:50" s="7" customFormat="1" ht="1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</row>
    <row r="2048" spans="1:50" s="7" customFormat="1" ht="1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</row>
    <row r="2049" spans="1:50" s="7" customFormat="1" ht="1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</row>
    <row r="2050" spans="1:50" s="7" customFormat="1" ht="1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</row>
    <row r="2051" spans="1:50" s="7" customFormat="1" ht="1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</row>
    <row r="2052" spans="1:50" s="7" customFormat="1" ht="1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</row>
    <row r="2053" spans="1:50" s="7" customFormat="1" ht="1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</row>
    <row r="2054" spans="1:50" s="7" customFormat="1" ht="1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</row>
    <row r="2055" spans="1:50" s="7" customFormat="1" ht="1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</row>
    <row r="2056" spans="1:50" s="7" customFormat="1" ht="1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</row>
    <row r="2057" spans="1:50" s="7" customFormat="1" ht="1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</row>
    <row r="2058" spans="1:50" s="7" customFormat="1" ht="1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</row>
    <row r="2059" spans="1:50" s="7" customFormat="1" ht="1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</row>
    <row r="2060" spans="1:50" s="7" customFormat="1" ht="1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</row>
    <row r="2061" spans="1:50" s="7" customFormat="1" ht="1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</row>
    <row r="2062" spans="1:50" s="7" customFormat="1" ht="1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</row>
    <row r="2063" spans="1:50" s="7" customFormat="1" ht="1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</row>
    <row r="2064" spans="1:50" s="7" customFormat="1" ht="1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</row>
    <row r="2065" spans="1:50" s="7" customFormat="1" ht="1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</row>
    <row r="2066" spans="1:50" s="7" customFormat="1" ht="1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</row>
    <row r="2067" spans="1:50" s="7" customFormat="1" ht="1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</row>
    <row r="2068" spans="1:50" s="7" customFormat="1" ht="1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</row>
    <row r="2069" spans="1:50" s="7" customFormat="1" ht="1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</row>
    <row r="2070" spans="1:50" s="7" customFormat="1" ht="1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</row>
    <row r="2071" spans="1:50" s="7" customFormat="1" ht="1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</row>
    <row r="2072" spans="1:50" s="7" customFormat="1" ht="1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</row>
    <row r="2073" spans="1:50" s="7" customFormat="1" ht="1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</row>
    <row r="2074" spans="1:50" s="7" customFormat="1" ht="1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</row>
    <row r="2075" spans="1:50" s="7" customFormat="1" ht="1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</row>
    <row r="2076" spans="1:50" s="7" customFormat="1" ht="1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</row>
    <row r="2077" spans="1:50" s="7" customFormat="1" ht="1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</row>
    <row r="2078" spans="1:50" s="7" customFormat="1" ht="1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</row>
    <row r="2079" spans="1:50" s="7" customFormat="1" ht="1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</row>
    <row r="2080" spans="1:50" s="7" customFormat="1" ht="1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</row>
    <row r="2081" spans="1:50" s="7" customFormat="1" ht="1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</row>
    <row r="2082" spans="1:50" s="7" customFormat="1" ht="1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</row>
    <row r="2083" spans="1:50" s="7" customFormat="1" ht="1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</row>
    <row r="2084" spans="1:50" s="7" customFormat="1" ht="1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</row>
    <row r="2085" spans="1:50" s="7" customFormat="1" ht="1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</row>
    <row r="2086" spans="1:50" s="7" customFormat="1" ht="1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</row>
    <row r="2087" spans="1:50" s="7" customFormat="1" ht="1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</row>
    <row r="2088" spans="1:50" s="7" customFormat="1" ht="1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</row>
    <row r="2089" spans="1:50" s="7" customFormat="1" ht="1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</row>
    <row r="2090" spans="1:50" s="7" customFormat="1" ht="1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</row>
    <row r="2091" spans="1:50" s="7" customFormat="1" ht="1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</row>
    <row r="2092" spans="1:50" s="7" customFormat="1" ht="1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</row>
    <row r="2093" spans="1:50" s="7" customFormat="1" ht="1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</row>
    <row r="2094" spans="1:50" s="7" customFormat="1" ht="1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</row>
    <row r="2095" spans="1:50" s="7" customFormat="1" ht="1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</row>
    <row r="2096" spans="1:50" s="7" customFormat="1" ht="1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</row>
    <row r="2097" spans="1:50" s="7" customFormat="1" ht="1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</row>
    <row r="2098" spans="1:50" s="7" customFormat="1" ht="1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</row>
    <row r="2099" spans="1:50" s="7" customFormat="1" ht="1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</row>
    <row r="2100" spans="1:50" s="7" customFormat="1" ht="1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</row>
    <row r="2101" spans="1:50" s="7" customFormat="1" ht="1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</row>
    <row r="2102" spans="1:50" s="7" customFormat="1" ht="1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</row>
    <row r="2103" spans="1:50" s="7" customFormat="1" ht="1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</row>
    <row r="2104" spans="1:50" s="7" customFormat="1" ht="1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</row>
    <row r="2105" spans="1:50" s="7" customFormat="1" ht="1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</row>
    <row r="2106" spans="1:50" s="7" customFormat="1" ht="1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</row>
    <row r="2107" spans="1:50" s="7" customFormat="1" ht="1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</row>
    <row r="2108" spans="1:50" s="7" customFormat="1" ht="1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</row>
    <row r="2109" spans="1:50" s="7" customFormat="1" ht="1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</row>
    <row r="2110" spans="1:50" s="7" customFormat="1" ht="1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</row>
    <row r="2111" spans="1:50" s="7" customFormat="1" ht="1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</row>
    <row r="2112" spans="1:50" s="7" customFormat="1" ht="1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</row>
    <row r="2113" spans="1:50" s="7" customFormat="1" ht="1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</row>
    <row r="2114" spans="1:50" s="7" customFormat="1" ht="1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</row>
    <row r="2115" spans="1:50" s="7" customFormat="1" ht="1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</row>
    <row r="2116" spans="1:50" s="7" customFormat="1" ht="1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</row>
    <row r="2117" spans="1:50" s="7" customFormat="1" ht="1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</row>
    <row r="2118" spans="1:50" s="7" customFormat="1" ht="1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</row>
    <row r="2119" spans="1:50" s="7" customFormat="1" ht="1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</row>
    <row r="2120" spans="1:50" s="7" customFormat="1" ht="1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</row>
    <row r="2121" spans="1:50" s="7" customFormat="1" ht="1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</row>
    <row r="2122" spans="1:50" s="7" customFormat="1" ht="1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</row>
    <row r="2123" spans="1:50" s="7" customFormat="1" ht="1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</row>
    <row r="2124" spans="1:50" s="7" customFormat="1" ht="1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</row>
    <row r="2125" spans="1:50" s="7" customFormat="1" ht="1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</row>
    <row r="2126" spans="1:50" s="7" customFormat="1" ht="1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</row>
    <row r="2127" spans="1:50" s="7" customFormat="1" ht="1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</row>
    <row r="2128" spans="1:50" s="7" customFormat="1" ht="1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</row>
    <row r="2129" spans="1:50" s="7" customFormat="1" ht="1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</row>
    <row r="2130" spans="1:50" s="7" customFormat="1" ht="1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</row>
    <row r="2131" spans="1:50" s="7" customFormat="1" ht="1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</row>
    <row r="2132" spans="1:50" s="7" customFormat="1" ht="1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</row>
    <row r="2133" spans="1:50" s="7" customFormat="1" ht="1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</row>
    <row r="2134" spans="1:50" s="7" customFormat="1" ht="1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</row>
    <row r="2135" spans="1:50" s="7" customFormat="1" ht="1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</row>
    <row r="2136" spans="1:50" s="7" customFormat="1" ht="1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</row>
    <row r="2137" spans="1:50" s="7" customFormat="1" ht="1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</row>
    <row r="2138" spans="1:50" s="7" customFormat="1" ht="1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</row>
    <row r="2139" spans="1:50" s="7" customFormat="1" ht="1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</row>
    <row r="2140" spans="1:50" s="7" customFormat="1" ht="1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</row>
    <row r="2141" spans="1:50" s="7" customFormat="1" ht="1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</row>
    <row r="2142" spans="1:50" s="7" customFormat="1" ht="1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</row>
    <row r="2143" spans="1:50" s="7" customFormat="1" ht="1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</row>
    <row r="2144" spans="1:50" s="7" customFormat="1" ht="1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</row>
    <row r="2145" spans="1:50" s="7" customFormat="1" ht="1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</row>
    <row r="2146" spans="1:50" s="7" customFormat="1" ht="1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</row>
    <row r="2147" spans="1:50" s="7" customFormat="1" ht="1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</row>
    <row r="2148" spans="1:50" s="7" customFormat="1" ht="1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</row>
    <row r="2149" spans="1:50" s="7" customFormat="1" ht="1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</row>
    <row r="2150" spans="1:50" s="7" customFormat="1" ht="1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</row>
    <row r="2151" spans="1:50" s="7" customFormat="1" ht="1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</row>
    <row r="2152" spans="1:50" s="7" customFormat="1" ht="1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</row>
    <row r="2153" spans="1:50" s="7" customFormat="1" ht="1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</row>
    <row r="2154" spans="1:50" s="7" customFormat="1" ht="1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</row>
    <row r="2155" spans="1:50" s="7" customFormat="1" ht="1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</row>
    <row r="2156" spans="1:50" s="7" customFormat="1" ht="1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</row>
    <row r="2157" spans="1:50" s="7" customFormat="1" ht="1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</row>
    <row r="2158" spans="1:50" s="7" customFormat="1" ht="1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</row>
    <row r="2159" spans="1:50" s="7" customFormat="1" ht="1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</row>
    <row r="2160" spans="1:50" s="7" customFormat="1" ht="1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</row>
    <row r="2161" spans="1:50" s="7" customFormat="1" ht="1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</row>
    <row r="2162" spans="1:50" s="7" customFormat="1" ht="1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</row>
    <row r="2163" spans="1:50" s="7" customFormat="1" ht="1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</row>
    <row r="2164" spans="1:50" s="7" customFormat="1" ht="1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</row>
    <row r="2165" spans="1:50" s="7" customFormat="1" ht="1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</row>
    <row r="2166" spans="1:50" s="7" customFormat="1" ht="1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</row>
    <row r="2167" spans="1:50" s="7" customFormat="1" ht="1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</row>
    <row r="2168" spans="1:50" s="7" customFormat="1" ht="1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</row>
    <row r="2169" spans="1:50" s="7" customFormat="1" ht="1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</row>
    <row r="2170" spans="1:50" s="7" customFormat="1" ht="1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</row>
    <row r="2171" spans="1:50" s="7" customFormat="1" ht="1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</row>
    <row r="2172" spans="1:50" s="7" customFormat="1" ht="1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</row>
    <row r="2173" spans="1:50" s="7" customFormat="1" ht="1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</row>
    <row r="2174" spans="1:50" s="7" customFormat="1" ht="1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</row>
    <row r="2175" spans="1:50" s="7" customFormat="1" ht="1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</row>
    <row r="2176" spans="1:50" s="7" customFormat="1" ht="1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</row>
    <row r="2177" spans="1:50" s="7" customFormat="1" ht="1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</row>
    <row r="2178" spans="1:50" s="7" customFormat="1" ht="1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</row>
    <row r="2179" spans="1:50" s="7" customFormat="1" ht="1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</row>
    <row r="2180" spans="1:50" s="7" customFormat="1" ht="1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</row>
    <row r="2181" spans="1:50" s="7" customFormat="1" ht="1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</row>
    <row r="2182" spans="1:50" s="7" customFormat="1" ht="1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</row>
    <row r="2183" spans="1:50" s="7" customFormat="1" ht="1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</row>
    <row r="2184" spans="1:50" s="7" customFormat="1" ht="1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</row>
    <row r="2185" spans="1:50" s="7" customFormat="1" ht="1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</row>
    <row r="2186" spans="1:50" s="7" customFormat="1" ht="1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</row>
    <row r="2187" spans="1:50" s="7" customFormat="1" ht="1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</row>
    <row r="2188" spans="1:50" s="7" customFormat="1" ht="1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</row>
    <row r="2189" spans="1:50" s="7" customFormat="1" ht="1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</row>
    <row r="2190" spans="1:50" s="7" customFormat="1" ht="1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</row>
    <row r="2191" spans="1:50" s="7" customFormat="1" ht="1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</row>
    <row r="2192" spans="1:50" s="7" customFormat="1" ht="1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</row>
    <row r="2193" spans="1:50" s="7" customFormat="1" ht="1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</row>
    <row r="2194" spans="1:50" s="7" customFormat="1" ht="1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</row>
    <row r="2195" spans="1:50" s="7" customFormat="1" ht="1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</row>
    <row r="2196" spans="1:50" s="7" customFormat="1" ht="1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</row>
    <row r="2197" spans="1:50" s="7" customFormat="1" ht="1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</row>
    <row r="2198" spans="1:50" s="7" customFormat="1" ht="1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</row>
    <row r="2199" spans="1:50" s="7" customFormat="1" ht="1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</row>
    <row r="2200" spans="1:50" s="7" customFormat="1" ht="1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</row>
    <row r="2201" spans="1:50" s="7" customFormat="1" ht="1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</row>
    <row r="2202" spans="1:50" s="7" customFormat="1" ht="1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</row>
    <row r="2203" spans="1:50" s="7" customFormat="1" ht="1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</row>
    <row r="2204" spans="1:50" s="7" customFormat="1" ht="1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</row>
    <row r="2205" spans="1:50" s="7" customFormat="1" ht="1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</row>
    <row r="2206" spans="1:50" s="7" customFormat="1" ht="1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</row>
    <row r="2207" spans="1:50" s="7" customFormat="1" ht="1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</row>
    <row r="2208" spans="1:50" s="7" customFormat="1" ht="1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</row>
    <row r="2209" spans="1:50" s="7" customFormat="1" ht="1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</row>
    <row r="2210" spans="1:50" s="7" customFormat="1" ht="1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</row>
    <row r="2211" spans="1:50" s="7" customFormat="1" ht="1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</row>
    <row r="2212" spans="1:50" s="7" customFormat="1" ht="1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</row>
    <row r="2213" spans="1:50" s="7" customFormat="1" ht="1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</row>
    <row r="2214" spans="1:50" s="7" customFormat="1" ht="1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</row>
    <row r="2215" spans="1:50" s="7" customFormat="1" ht="1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</row>
    <row r="2216" spans="1:50" s="7" customFormat="1" ht="1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</row>
    <row r="2217" spans="1:50" s="7" customFormat="1" ht="1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</row>
    <row r="2218" spans="1:50" s="7" customFormat="1" ht="1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</row>
    <row r="2219" spans="1:50" s="7" customFormat="1" ht="1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</row>
    <row r="2220" spans="1:50" s="7" customFormat="1" ht="1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</row>
    <row r="2221" spans="1:50" s="7" customFormat="1" ht="1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</row>
    <row r="2222" spans="1:50" s="7" customFormat="1" ht="1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</row>
    <row r="2223" spans="1:50" s="7" customFormat="1" ht="1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</row>
    <row r="2224" spans="1:50" s="7" customFormat="1" ht="1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</row>
    <row r="2225" spans="1:50" s="7" customFormat="1" ht="1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</row>
    <row r="2226" spans="1:50" s="7" customFormat="1" ht="1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</row>
    <row r="2227" spans="1:50" s="7" customFormat="1" ht="1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</row>
    <row r="2228" spans="1:50" s="7" customFormat="1" ht="1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</row>
    <row r="2229" spans="1:50" s="7" customFormat="1" ht="1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</row>
    <row r="2230" spans="1:50" s="7" customFormat="1" ht="1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</row>
    <row r="2231" spans="1:50" s="7" customFormat="1" ht="1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</row>
    <row r="2232" spans="1:50" s="7" customFormat="1" ht="1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</row>
    <row r="2233" spans="1:50" s="7" customFormat="1" ht="1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</row>
    <row r="2234" spans="1:50" s="7" customFormat="1" ht="1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</row>
    <row r="2235" spans="1:50" s="7" customFormat="1" ht="1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</row>
    <row r="2236" spans="1:50" s="7" customFormat="1" ht="1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</row>
    <row r="2237" spans="1:50" s="7" customFormat="1" ht="1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</row>
    <row r="2238" spans="1:50" s="7" customFormat="1" ht="1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</row>
    <row r="2239" spans="1:50" s="7" customFormat="1" ht="1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</row>
    <row r="2240" spans="1:50" s="7" customFormat="1" ht="1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</row>
    <row r="2241" spans="1:50" s="7" customFormat="1" ht="1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</row>
    <row r="2242" spans="1:50" s="7" customFormat="1" ht="1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</row>
    <row r="2243" spans="1:50" s="7" customFormat="1" ht="1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</row>
    <row r="2244" spans="1:50" s="7" customFormat="1" ht="1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</row>
    <row r="2245" spans="1:50" s="7" customFormat="1" ht="1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</row>
    <row r="2246" spans="1:50" s="7" customFormat="1" ht="1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</row>
    <row r="2247" spans="1:50" s="7" customFormat="1" ht="1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</row>
    <row r="2248" spans="1:50" s="7" customFormat="1" ht="1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</row>
    <row r="2249" spans="1:50" s="7" customFormat="1" ht="1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</row>
    <row r="2250" spans="1:50" s="7" customFormat="1" ht="1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</row>
    <row r="2251" spans="1:50" s="7" customFormat="1" ht="1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</row>
    <row r="2252" spans="1:50" s="7" customFormat="1" ht="1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</row>
    <row r="2253" spans="1:50" s="7" customFormat="1" ht="1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</row>
    <row r="2254" spans="1:50" s="7" customFormat="1" ht="1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</row>
    <row r="2255" spans="1:50" s="7" customFormat="1" ht="1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</row>
    <row r="2256" spans="1:50" s="7" customFormat="1" ht="1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</row>
    <row r="2257" spans="1:50" s="7" customFormat="1" ht="1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</row>
    <row r="2258" spans="1:50" s="7" customFormat="1" ht="1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</row>
    <row r="2259" spans="1:50" s="7" customFormat="1" ht="1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</row>
    <row r="2260" spans="1:50" s="7" customFormat="1" ht="1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</row>
    <row r="2261" spans="1:50" s="7" customFormat="1" ht="1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</row>
    <row r="2262" spans="1:50" s="7" customFormat="1" ht="1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</row>
    <row r="2263" spans="1:50" s="7" customFormat="1" ht="1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</row>
    <row r="2264" spans="1:50" s="7" customFormat="1" ht="1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</row>
    <row r="2265" spans="1:50" s="7" customFormat="1" ht="1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</row>
    <row r="2266" spans="1:50" s="7" customFormat="1" ht="1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</row>
    <row r="2267" spans="1:50" s="7" customFormat="1" ht="1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</row>
    <row r="2268" spans="1:50" s="7" customFormat="1" ht="1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</row>
    <row r="2269" spans="1:50" s="7" customFormat="1" ht="1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</row>
    <row r="2270" spans="1:50" s="7" customFormat="1" ht="1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</row>
    <row r="2271" spans="1:50" s="7" customFormat="1" ht="1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</row>
    <row r="2272" spans="1:50" s="7" customFormat="1" ht="1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</row>
    <row r="2273" spans="1:50" s="7" customFormat="1" ht="1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</row>
    <row r="2274" spans="1:50" s="7" customFormat="1" ht="1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</row>
    <row r="2275" spans="1:50" s="7" customFormat="1" ht="1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</row>
    <row r="2276" spans="1:50" s="7" customFormat="1" ht="1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</row>
    <row r="2277" spans="1:50" s="7" customFormat="1" ht="1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</row>
    <row r="2278" spans="1:50" s="7" customFormat="1" ht="1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</row>
    <row r="2279" spans="1:50" s="7" customFormat="1" ht="1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</row>
    <row r="2280" spans="1:50" s="7" customFormat="1" ht="1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</row>
    <row r="2281" spans="1:50" s="7" customFormat="1" ht="1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</row>
    <row r="2282" spans="1:50" s="7" customFormat="1" ht="1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</row>
    <row r="2283" spans="1:50" s="7" customFormat="1" ht="1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</row>
    <row r="2284" spans="1:50" s="7" customFormat="1" ht="1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</row>
    <row r="2285" spans="1:50" s="7" customFormat="1" ht="1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</row>
    <row r="2286" spans="1:50" s="7" customFormat="1" ht="1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</row>
    <row r="2287" spans="1:50" s="7" customFormat="1" ht="1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</row>
    <row r="2288" spans="1:50" s="7" customFormat="1" ht="1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</row>
    <row r="2289" spans="1:50" s="7" customFormat="1" ht="1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</row>
    <row r="2290" spans="1:50" s="7" customFormat="1" ht="1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</row>
    <row r="2291" spans="1:50" s="7" customFormat="1" ht="1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</row>
    <row r="2292" spans="1:50" s="7" customFormat="1" ht="1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</row>
    <row r="2293" spans="1:50" s="7" customFormat="1" ht="1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</row>
    <row r="2294" spans="1:50" s="7" customFormat="1" ht="1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</row>
    <row r="2295" spans="1:50" s="7" customFormat="1" ht="1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</row>
    <row r="2296" spans="1:50" s="7" customFormat="1" ht="1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</row>
    <row r="2297" spans="1:50" s="7" customFormat="1" ht="1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</row>
    <row r="2298" spans="1:50" s="7" customFormat="1" ht="1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</row>
    <row r="2299" spans="1:50" s="7" customFormat="1" ht="1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</row>
    <row r="2300" spans="1:50" s="7" customFormat="1" ht="1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</row>
    <row r="2301" spans="1:50" s="7" customFormat="1" ht="1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</row>
    <row r="2302" spans="1:50" s="7" customFormat="1" ht="1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</row>
    <row r="2303" spans="1:50" s="7" customFormat="1" ht="1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</row>
    <row r="2304" spans="1:50" s="7" customFormat="1" ht="1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</row>
    <row r="2305" spans="1:50" s="7" customFormat="1" ht="1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</row>
    <row r="2306" spans="1:50" s="7" customFormat="1" ht="1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</row>
    <row r="2307" spans="1:50" s="7" customFormat="1" ht="1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</row>
    <row r="2308" spans="1:50" s="7" customFormat="1" ht="1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</row>
    <row r="2309" spans="1:50" s="7" customFormat="1" ht="1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</row>
    <row r="2310" spans="1:50" s="7" customFormat="1" ht="1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</row>
    <row r="2311" spans="1:50" s="7" customFormat="1" ht="1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</row>
    <row r="2312" spans="1:50" s="7" customFormat="1" ht="1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</row>
    <row r="2313" spans="1:50" s="7" customFormat="1" ht="1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</row>
    <row r="2314" spans="1:50" s="7" customFormat="1" ht="1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</row>
    <row r="2315" spans="1:50" s="7" customFormat="1" ht="1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</row>
    <row r="2316" spans="1:50" s="7" customFormat="1" ht="1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</row>
    <row r="2317" spans="1:50" s="7" customFormat="1" ht="1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</row>
    <row r="2318" spans="1:50" s="7" customFormat="1" ht="1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</row>
    <row r="2319" spans="1:50" s="7" customFormat="1" ht="1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</row>
    <row r="2320" spans="1:50" s="7" customFormat="1" ht="1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</row>
    <row r="2321" spans="1:50" s="7" customFormat="1" ht="1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</row>
    <row r="2322" spans="1:50" s="7" customFormat="1" ht="1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</row>
    <row r="2323" spans="1:50" s="7" customFormat="1" ht="1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</row>
    <row r="2324" spans="1:50" s="7" customFormat="1" ht="1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</row>
    <row r="2325" spans="1:50" s="7" customFormat="1" ht="1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</row>
    <row r="2326" spans="1:50" s="7" customFormat="1" ht="1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</row>
    <row r="2327" spans="1:50" s="7" customFormat="1" ht="1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</row>
    <row r="2328" spans="1:50" s="7" customFormat="1" ht="1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</row>
    <row r="2329" spans="1:50" s="7" customFormat="1" ht="1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</row>
    <row r="2330" spans="1:50" s="7" customFormat="1" ht="1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</row>
    <row r="2331" spans="1:50" s="7" customFormat="1" ht="1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</row>
    <row r="2332" spans="1:50" s="7" customFormat="1" ht="1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</row>
    <row r="2333" spans="1:50" s="7" customFormat="1" ht="1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</row>
    <row r="2334" spans="1:50" s="7" customFormat="1" ht="1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</row>
    <row r="2335" spans="1:50" s="7" customFormat="1" ht="1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</row>
    <row r="2336" spans="1:50" s="7" customFormat="1" ht="1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</row>
    <row r="2337" spans="1:50" s="7" customFormat="1" ht="1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</row>
    <row r="2338" spans="1:50" s="7" customFormat="1" ht="1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</row>
    <row r="2339" spans="1:50" s="7" customFormat="1" ht="1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</row>
    <row r="2340" spans="1:50" s="7" customFormat="1" ht="1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</row>
    <row r="2341" spans="1:50" s="7" customFormat="1" ht="1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</row>
    <row r="2342" spans="1:50" s="7" customFormat="1" ht="1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</row>
    <row r="2343" spans="1:50" s="7" customFormat="1" ht="1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</row>
    <row r="2344" spans="1:50" s="7" customFormat="1" ht="1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</row>
    <row r="2345" spans="1:50" s="7" customFormat="1" ht="1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</row>
    <row r="2346" spans="1:50" s="7" customFormat="1" ht="1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</row>
    <row r="2347" spans="1:50" s="7" customFormat="1" ht="1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</row>
    <row r="2348" spans="1:50" s="7" customFormat="1" ht="1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</row>
    <row r="2349" spans="1:50" s="7" customFormat="1" ht="1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</row>
    <row r="2350" spans="1:50" s="7" customFormat="1" ht="1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</row>
    <row r="2351" spans="1:50" s="7" customFormat="1" ht="1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</row>
    <row r="2352" spans="1:50" s="7" customFormat="1" ht="1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</row>
    <row r="2353" spans="1:50" s="7" customFormat="1" ht="1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</row>
    <row r="2354" spans="1:50" s="7" customFormat="1" ht="1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</row>
    <row r="2355" spans="1:50" s="7" customFormat="1" ht="1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</row>
    <row r="2356" spans="1:50" s="7" customFormat="1" ht="1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</row>
    <row r="2357" spans="1:50" s="7" customFormat="1" ht="1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</row>
    <row r="2358" spans="1:50" s="7" customFormat="1" ht="1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</row>
    <row r="2359" spans="1:50" s="7" customFormat="1" ht="1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</row>
    <row r="2360" spans="1:50" s="7" customFormat="1" ht="1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</row>
    <row r="2361" spans="1:50" s="7" customFormat="1" ht="1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</row>
    <row r="2362" spans="1:50" s="7" customFormat="1" ht="1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</row>
    <row r="2363" spans="1:50" s="7" customFormat="1" ht="1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</row>
    <row r="2364" spans="1:50" s="7" customFormat="1" ht="1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</row>
    <row r="2365" spans="1:50" s="7" customFormat="1" ht="1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</row>
    <row r="2366" spans="1:50" s="7" customFormat="1" ht="1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</row>
    <row r="2367" spans="1:50" s="7" customFormat="1" ht="1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</row>
    <row r="2368" spans="1:50" s="7" customFormat="1" ht="1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</row>
    <row r="2369" spans="1:50" s="7" customFormat="1" ht="1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</row>
    <row r="2370" spans="1:50" s="7" customFormat="1" ht="1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</row>
    <row r="2371" spans="1:50" s="7" customFormat="1" ht="1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</row>
    <row r="2372" spans="1:50" s="7" customFormat="1" ht="1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</row>
    <row r="2373" spans="1:50" s="7" customFormat="1" ht="1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</row>
    <row r="2374" spans="1:50" s="7" customFormat="1" ht="1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</row>
    <row r="2375" spans="1:50" s="7" customFormat="1" ht="1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</row>
    <row r="2376" spans="1:50" s="7" customFormat="1" ht="1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</row>
    <row r="2377" spans="1:50" s="7" customFormat="1" ht="1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</row>
    <row r="2378" spans="1:50" s="7" customFormat="1" ht="1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</row>
    <row r="2379" spans="1:50" s="7" customFormat="1" ht="1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</row>
    <row r="2380" spans="1:50" s="7" customFormat="1" ht="1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</row>
    <row r="2381" spans="1:50" s="7" customFormat="1" ht="1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</row>
    <row r="2382" spans="1:50" s="7" customFormat="1" ht="1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</row>
    <row r="2383" spans="1:50" s="7" customFormat="1" ht="1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</row>
    <row r="2384" spans="1:50" s="7" customFormat="1" ht="1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</row>
    <row r="2385" spans="1:50" s="7" customFormat="1" ht="1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</row>
    <row r="2386" spans="1:50" s="7" customFormat="1" ht="1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</row>
    <row r="2387" spans="1:50" s="7" customFormat="1" ht="1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</row>
    <row r="2388" spans="1:50" s="7" customFormat="1" ht="1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</row>
    <row r="2389" spans="1:50" s="7" customFormat="1" ht="1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</row>
    <row r="2390" spans="1:50" s="7" customFormat="1" ht="1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</row>
    <row r="2391" spans="1:50" s="7" customFormat="1" ht="1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</row>
    <row r="2392" spans="1:50" s="7" customFormat="1" ht="1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</row>
    <row r="2393" spans="1:50" s="7" customFormat="1" ht="1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</row>
    <row r="2394" spans="1:50" s="7" customFormat="1" ht="1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</row>
    <row r="2395" spans="1:50" s="7" customFormat="1" ht="1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</row>
    <row r="2396" spans="1:50" s="7" customFormat="1" ht="1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</row>
    <row r="2397" spans="1:50" s="7" customFormat="1" ht="1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</row>
    <row r="2398" spans="1:50" s="7" customFormat="1" ht="1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</row>
    <row r="2399" spans="1:50" s="7" customFormat="1" ht="1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</row>
    <row r="2400" spans="1:50" s="7" customFormat="1" ht="1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</row>
    <row r="2401" spans="1:50" s="7" customFormat="1" ht="1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</row>
    <row r="2402" spans="1:50" s="7" customFormat="1" ht="1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</row>
    <row r="2403" spans="1:50" s="7" customFormat="1" ht="1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</row>
    <row r="2404" spans="1:50" s="7" customFormat="1" ht="1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</row>
    <row r="2405" spans="1:50" s="7" customFormat="1" ht="1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</row>
    <row r="2406" spans="1:50" s="7" customFormat="1" ht="1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</row>
    <row r="2407" spans="1:50" s="7" customFormat="1" ht="1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</row>
    <row r="2408" spans="1:50" s="7" customFormat="1" ht="1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</row>
    <row r="2409" spans="1:50" s="7" customFormat="1" ht="1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</row>
    <row r="2410" spans="1:50" s="7" customFormat="1" ht="1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</row>
    <row r="2411" spans="1:50" s="7" customFormat="1" ht="1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</row>
    <row r="2412" spans="1:50" s="7" customFormat="1" ht="1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</row>
    <row r="2413" spans="1:50" s="7" customFormat="1" ht="1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</row>
    <row r="2414" spans="1:50" s="7" customFormat="1" ht="1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</row>
    <row r="2415" spans="1:50" s="7" customFormat="1" ht="1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</row>
    <row r="2416" spans="1:50" s="7" customFormat="1" ht="1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</row>
    <row r="2417" spans="1:50" s="7" customFormat="1" ht="1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</row>
    <row r="2418" spans="1:50" s="7" customFormat="1" ht="1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</row>
    <row r="2419" spans="1:50" s="7" customFormat="1" ht="1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</row>
    <row r="2420" spans="1:50" s="7" customFormat="1" ht="1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</row>
    <row r="2421" spans="1:50" s="7" customFormat="1" ht="1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</row>
    <row r="2422" spans="1:50" s="7" customFormat="1" ht="1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</row>
    <row r="2423" spans="1:50" s="7" customFormat="1" ht="1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</row>
    <row r="2424" spans="1:50" s="7" customFormat="1" ht="1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</row>
    <row r="2425" spans="1:50" s="7" customFormat="1" ht="1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</row>
    <row r="2426" spans="1:50" s="7" customFormat="1" ht="1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</row>
    <row r="2427" spans="1:50" s="7" customFormat="1" ht="1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</row>
    <row r="2428" spans="1:50" s="7" customFormat="1" ht="1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</row>
    <row r="2429" spans="1:50" s="7" customFormat="1" ht="1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</row>
    <row r="2430" spans="1:50" s="7" customFormat="1" ht="1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</row>
    <row r="2431" spans="1:50" s="7" customFormat="1" ht="1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</row>
    <row r="2432" spans="1:50" s="7" customFormat="1" ht="1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</row>
    <row r="2433" spans="1:50" s="7" customFormat="1" ht="1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</row>
    <row r="2434" spans="1:50" s="7" customFormat="1" ht="1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</row>
    <row r="2435" spans="1:50" s="7" customFormat="1" ht="1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</row>
    <row r="2436" spans="1:50" s="7" customFormat="1" ht="1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</row>
    <row r="2437" spans="1:50" s="7" customFormat="1" ht="1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</row>
    <row r="2438" spans="1:50" s="7" customFormat="1" ht="1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</row>
    <row r="2439" spans="1:50" s="7" customFormat="1" ht="1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</row>
    <row r="2440" spans="1:50" s="7" customFormat="1" ht="1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</row>
    <row r="2441" spans="1:50" s="7" customFormat="1" ht="1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</row>
    <row r="2442" spans="1:50" s="7" customFormat="1" ht="1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</row>
    <row r="2443" spans="1:50" s="7" customFormat="1" ht="1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</row>
    <row r="2444" spans="1:50" s="7" customFormat="1" ht="1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</row>
    <row r="2445" spans="1:50" s="7" customFormat="1" ht="1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</row>
    <row r="2446" spans="1:50" s="7" customFormat="1" ht="1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</row>
    <row r="2447" spans="1:50" s="7" customFormat="1" ht="1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</row>
    <row r="2448" spans="1:50" s="7" customFormat="1" ht="1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</row>
    <row r="2449" spans="1:50" s="7" customFormat="1" ht="1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</row>
    <row r="2450" spans="1:50" s="7" customFormat="1" ht="1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</row>
    <row r="2451" spans="1:50" s="7" customFormat="1" ht="1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</row>
    <row r="2452" spans="1:50" s="7" customFormat="1" ht="1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</row>
    <row r="2453" spans="1:50" s="7" customFormat="1" ht="1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</row>
    <row r="2454" spans="1:50" s="7" customFormat="1" ht="1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</row>
    <row r="2455" spans="1:50" s="7" customFormat="1" ht="1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</row>
    <row r="2456" spans="1:50" s="7" customFormat="1" ht="1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</row>
    <row r="2457" spans="1:50" s="7" customFormat="1" ht="1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</row>
    <row r="2458" spans="1:50" s="7" customFormat="1" ht="1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</row>
    <row r="2459" spans="1:50" s="7" customFormat="1" ht="1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</row>
    <row r="2460" spans="1:50" s="7" customFormat="1" ht="1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</row>
    <row r="2461" spans="1:50" s="7" customFormat="1" ht="1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</row>
    <row r="2462" spans="1:50" s="7" customFormat="1" ht="1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</row>
    <row r="2463" spans="1:50" s="7" customFormat="1" ht="1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</row>
    <row r="2464" spans="1:50" s="7" customFormat="1" ht="1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</row>
    <row r="2465" spans="1:50" s="7" customFormat="1" ht="1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</row>
    <row r="2466" spans="1:50" s="7" customFormat="1" ht="1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</row>
    <row r="2467" spans="1:50" s="7" customFormat="1" ht="1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</row>
    <row r="2468" spans="1:50" s="7" customFormat="1" ht="1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</row>
    <row r="2469" spans="1:50" s="7" customFormat="1" ht="1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</row>
    <row r="2470" spans="1:50" s="7" customFormat="1" ht="1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</row>
    <row r="2471" spans="1:50" s="7" customFormat="1" ht="1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</row>
    <row r="2472" spans="1:50" s="7" customFormat="1" ht="1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</row>
    <row r="2473" spans="1:50" s="7" customFormat="1" ht="1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</row>
    <row r="2474" spans="1:50" s="7" customFormat="1" ht="1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</row>
    <row r="2475" spans="1:50" s="7" customFormat="1" ht="1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</row>
    <row r="2476" spans="1:50" s="7" customFormat="1" ht="1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</row>
    <row r="2477" spans="1:50" s="7" customFormat="1" ht="1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</row>
    <row r="2478" spans="1:50" s="7" customFormat="1" ht="1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</row>
    <row r="2479" spans="1:50" s="7" customFormat="1" ht="1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</row>
    <row r="2480" spans="1:50" s="7" customFormat="1" ht="1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</row>
    <row r="2481" spans="1:50" s="7" customFormat="1" ht="1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</row>
    <row r="2482" spans="1:50" s="7" customFormat="1" ht="1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</row>
    <row r="2483" spans="1:50" s="7" customFormat="1" ht="1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</row>
    <row r="2484" spans="1:50" s="7" customFormat="1" ht="1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</row>
    <row r="2485" spans="1:50" s="7" customFormat="1" ht="1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</row>
    <row r="2486" spans="1:50" s="7" customFormat="1" ht="1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</row>
    <row r="2487" spans="1:50" s="7" customFormat="1" ht="1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</row>
    <row r="2488" spans="1:50" s="7" customFormat="1" ht="1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</row>
    <row r="2489" spans="1:50" s="7" customFormat="1" ht="1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</row>
    <row r="2490" spans="1:50" s="7" customFormat="1" ht="1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</row>
    <row r="2491" spans="1:50" s="7" customFormat="1" ht="1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</row>
    <row r="2492" spans="1:50" s="7" customFormat="1" ht="1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</row>
    <row r="2493" spans="1:50" s="7" customFormat="1" ht="1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</row>
    <row r="2494" spans="1:50" s="7" customFormat="1" ht="1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</row>
    <row r="2495" spans="1:50" s="7" customFormat="1" ht="1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</row>
    <row r="2496" spans="1:50" s="7" customFormat="1" ht="1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</row>
    <row r="2497" spans="1:50" s="7" customFormat="1" ht="1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</row>
    <row r="2498" spans="1:50" s="7" customFormat="1" ht="1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</row>
    <row r="2499" spans="1:50" s="7" customFormat="1" ht="1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</row>
    <row r="2500" spans="1:50" s="7" customFormat="1" ht="1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</row>
    <row r="2501" spans="1:50" s="7" customFormat="1" ht="1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</row>
    <row r="2502" spans="1:50" s="7" customFormat="1" ht="1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</row>
    <row r="2503" spans="1:50" s="7" customFormat="1" ht="1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</row>
    <row r="2504" spans="1:50" s="7" customFormat="1" ht="1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</row>
    <row r="2505" spans="1:50" s="7" customFormat="1" ht="1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</row>
    <row r="2506" spans="1:50" s="7" customFormat="1" ht="1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</row>
    <row r="2507" spans="1:50" s="7" customFormat="1" ht="1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</row>
    <row r="2508" spans="1:50" s="7" customFormat="1" ht="1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</row>
    <row r="2509" spans="1:50" s="7" customFormat="1" ht="1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</row>
    <row r="2510" spans="1:50" s="7" customFormat="1" ht="1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</row>
    <row r="2511" spans="1:50" s="7" customFormat="1" ht="1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</row>
    <row r="2512" spans="1:50" s="7" customFormat="1" ht="1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</row>
    <row r="2513" spans="1:50" s="7" customFormat="1" ht="1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</row>
    <row r="2514" spans="1:50" s="7" customFormat="1" ht="1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</row>
    <row r="2515" spans="1:50" s="7" customFormat="1" ht="1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</row>
    <row r="2516" spans="1:50" s="7" customFormat="1" ht="12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</row>
    <row r="2517" spans="1:50" s="7" customFormat="1" ht="1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</row>
    <row r="2518" spans="1:50" s="7" customFormat="1" ht="1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</row>
    <row r="2519" spans="1:50" s="7" customFormat="1" ht="12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</row>
    <row r="2520" spans="1:50" s="7" customFormat="1" ht="1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</row>
    <row r="2521" spans="1:50" s="7" customFormat="1" ht="1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</row>
    <row r="2522" spans="1:50" s="7" customFormat="1" ht="12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</row>
    <row r="2523" spans="1:50" s="7" customFormat="1" ht="1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</row>
    <row r="2524" spans="1:50" s="7" customFormat="1" ht="1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</row>
    <row r="2525" spans="1:50" s="7" customFormat="1" ht="12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</row>
    <row r="2526" spans="1:50" s="7" customFormat="1" ht="1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</row>
    <row r="2527" spans="1:50" s="7" customFormat="1" ht="1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</row>
    <row r="2528" spans="1:50" s="7" customFormat="1" ht="12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</row>
    <row r="2529" spans="1:50" s="7" customFormat="1" ht="1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</row>
    <row r="2530" spans="1:50" s="7" customFormat="1" ht="1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</row>
    <row r="2531" spans="1:50" s="7" customFormat="1" ht="12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</row>
    <row r="2532" spans="1:50" s="7" customFormat="1" ht="1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</row>
    <row r="2533" spans="1:50" s="7" customFormat="1" ht="1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</row>
    <row r="2534" spans="1:50" s="7" customFormat="1" ht="12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</row>
    <row r="2535" spans="1:50" s="7" customFormat="1" ht="1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</row>
    <row r="2536" spans="1:50" s="7" customFormat="1" ht="1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</row>
    <row r="2537" spans="1:50" s="7" customFormat="1" ht="12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</row>
    <row r="2538" spans="1:50" s="7" customFormat="1" ht="1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</row>
    <row r="2539" spans="1:50" s="7" customFormat="1" ht="1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</row>
    <row r="2540" spans="1:50" s="7" customFormat="1" ht="12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</row>
    <row r="2541" spans="1:50" s="7" customFormat="1" ht="1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</row>
    <row r="2542" spans="1:50" s="7" customFormat="1" ht="1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</row>
    <row r="2543" spans="1:50" s="7" customFormat="1" ht="12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</row>
    <row r="2544" spans="1:50" s="7" customFormat="1" ht="1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</row>
    <row r="2545" spans="1:50" s="7" customFormat="1" ht="1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</row>
    <row r="2546" spans="1:50" s="7" customFormat="1" ht="12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</row>
    <row r="2547" spans="1:50" s="7" customFormat="1" ht="1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</row>
    <row r="2548" spans="1:50" s="7" customFormat="1" ht="1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</row>
    <row r="2549" spans="1:50" s="7" customFormat="1" ht="12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</row>
    <row r="2550" spans="1:50" s="7" customFormat="1" ht="1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</row>
    <row r="2551" spans="1:50" s="7" customFormat="1" ht="1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</row>
    <row r="2552" spans="1:50" s="7" customFormat="1" ht="12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</row>
    <row r="2553" spans="1:50" s="7" customFormat="1" ht="1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</row>
    <row r="2554" spans="1:50" s="7" customFormat="1" ht="1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</row>
    <row r="2555" spans="1:50" s="7" customFormat="1" ht="12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</row>
    <row r="2556" spans="1:50" s="7" customFormat="1" ht="1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</row>
    <row r="2557" spans="1:50" s="7" customFormat="1" ht="1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</row>
    <row r="2558" spans="1:50" s="7" customFormat="1" ht="12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</row>
    <row r="2559" spans="1:50" s="7" customFormat="1" ht="1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</row>
    <row r="2560" spans="1:50" s="7" customFormat="1" ht="1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</row>
    <row r="2561" spans="1:50" s="7" customFormat="1" ht="12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</row>
    <row r="2562" spans="1:50" s="7" customFormat="1" ht="1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</row>
    <row r="2563" spans="1:50" s="7" customFormat="1" ht="1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</row>
    <row r="2564" spans="1:50" s="7" customFormat="1" ht="12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</row>
    <row r="2565" spans="1:50" s="7" customFormat="1" ht="1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</row>
    <row r="2566" spans="1:50" s="7" customFormat="1" ht="1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</row>
    <row r="2567" spans="1:50" s="7" customFormat="1" ht="12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</row>
    <row r="2568" spans="1:50" s="7" customFormat="1" ht="1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</row>
    <row r="2569" spans="1:50" s="7" customFormat="1" ht="1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</row>
    <row r="2570" spans="1:50" s="7" customFormat="1" ht="12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</row>
    <row r="2571" spans="1:50" s="7" customFormat="1" ht="1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</row>
    <row r="2572" spans="1:50" s="7" customFormat="1" ht="1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</row>
    <row r="2573" spans="1:50" s="7" customFormat="1" ht="12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</row>
    <row r="2574" spans="1:50" s="7" customFormat="1" ht="1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</row>
    <row r="2575" spans="1:50" s="7" customFormat="1" ht="1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</row>
    <row r="2576" spans="1:50" s="7" customFormat="1" ht="12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</row>
    <row r="2577" spans="1:50" s="7" customFormat="1" ht="1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</row>
    <row r="2578" spans="1:50" s="7" customFormat="1" ht="1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</row>
    <row r="2579" spans="1:50" s="7" customFormat="1" ht="12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</row>
    <row r="2580" spans="1:50" s="7" customFormat="1" ht="1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</row>
    <row r="2581" spans="1:50" s="7" customFormat="1" ht="1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</row>
    <row r="2582" spans="1:50" s="7" customFormat="1" ht="12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</row>
    <row r="2583" spans="1:50" s="7" customFormat="1" ht="1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</row>
    <row r="2584" spans="1:50" s="7" customFormat="1" ht="1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</row>
    <row r="2585" spans="1:50" s="7" customFormat="1" ht="12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</row>
    <row r="2586" spans="1:50" s="7" customFormat="1" ht="1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</row>
    <row r="2587" spans="1:50" s="7" customFormat="1" ht="1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  <c r="AV2587"/>
      <c r="AW2587"/>
      <c r="AX2587"/>
    </row>
    <row r="2588" spans="1:50" s="7" customFormat="1" ht="12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  <c r="AV2588"/>
      <c r="AW2588"/>
      <c r="AX2588"/>
    </row>
    <row r="2589" spans="1:50" s="7" customFormat="1" ht="1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  <c r="AV2589"/>
      <c r="AW2589"/>
      <c r="AX2589"/>
    </row>
    <row r="2590" spans="1:50" s="7" customFormat="1" ht="1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  <c r="AV2590"/>
      <c r="AW2590"/>
      <c r="AX2590"/>
    </row>
    <row r="2591" spans="1:50" s="7" customFormat="1" ht="12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  <c r="AV2591"/>
      <c r="AW2591"/>
      <c r="AX2591"/>
    </row>
    <row r="2592" spans="1:50" s="7" customFormat="1" ht="1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  <c r="AV2592"/>
      <c r="AW2592"/>
      <c r="AX2592"/>
    </row>
    <row r="2593" spans="1:50" s="7" customFormat="1" ht="1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  <c r="AV2593"/>
      <c r="AW2593"/>
      <c r="AX2593"/>
    </row>
    <row r="2594" spans="1:50" s="7" customFormat="1" ht="12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  <c r="AV2594"/>
      <c r="AW2594"/>
      <c r="AX2594"/>
    </row>
    <row r="2595" spans="1:50" s="7" customFormat="1" ht="1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  <c r="AV2595"/>
      <c r="AW2595"/>
      <c r="AX2595"/>
    </row>
    <row r="2596" spans="1:50" s="7" customFormat="1" ht="1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  <c r="AV2596"/>
      <c r="AW2596"/>
      <c r="AX2596"/>
    </row>
    <row r="2597" spans="1:50" s="7" customFormat="1" ht="12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</row>
    <row r="2598" spans="1:50" s="7" customFormat="1" ht="1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  <c r="AV2598"/>
      <c r="AW2598"/>
      <c r="AX2598"/>
    </row>
    <row r="2599" spans="1:50" s="7" customFormat="1" ht="1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  <c r="AV2599"/>
      <c r="AW2599"/>
      <c r="AX2599"/>
    </row>
    <row r="2600" spans="1:50" s="7" customFormat="1" ht="12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  <c r="AV2600"/>
      <c r="AW2600"/>
      <c r="AX2600"/>
    </row>
    <row r="2601" spans="1:50" s="7" customFormat="1" ht="1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  <c r="AV2601"/>
      <c r="AW2601"/>
      <c r="AX2601"/>
    </row>
    <row r="2602" spans="1:50" s="7" customFormat="1" ht="1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  <c r="AV2602"/>
      <c r="AW2602"/>
      <c r="AX2602"/>
    </row>
    <row r="2603" spans="1:50" s="7" customFormat="1" ht="12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  <c r="AV2603"/>
      <c r="AW2603"/>
      <c r="AX2603"/>
    </row>
    <row r="2604" spans="1:50" s="7" customFormat="1" ht="1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  <c r="AV2604"/>
      <c r="AW2604"/>
      <c r="AX2604"/>
    </row>
    <row r="2605" spans="1:50" s="7" customFormat="1" ht="1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  <c r="AV2605"/>
      <c r="AW2605"/>
      <c r="AX2605"/>
    </row>
    <row r="2606" spans="1:50" s="7" customFormat="1" ht="12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  <c r="AV2606"/>
      <c r="AW2606"/>
      <c r="AX2606"/>
    </row>
    <row r="2607" spans="1:50" s="7" customFormat="1" ht="1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  <c r="AV2607"/>
      <c r="AW2607"/>
      <c r="AX2607"/>
    </row>
    <row r="2608" spans="1:50" s="7" customFormat="1" ht="1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  <c r="AV2608"/>
      <c r="AW2608"/>
      <c r="AX2608"/>
    </row>
    <row r="2609" spans="1:50" s="7" customFormat="1" ht="12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  <c r="AV2609"/>
      <c r="AW2609"/>
      <c r="AX2609"/>
    </row>
    <row r="2610" spans="1:50" s="7" customFormat="1" ht="1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  <c r="AV2610"/>
      <c r="AW2610"/>
      <c r="AX2610"/>
    </row>
    <row r="2611" spans="1:50" s="7" customFormat="1" ht="1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  <c r="AV2611"/>
      <c r="AW2611"/>
      <c r="AX2611"/>
    </row>
    <row r="2612" spans="1:50" s="7" customFormat="1" ht="12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  <c r="AV2612"/>
      <c r="AW2612"/>
      <c r="AX2612"/>
    </row>
    <row r="2613" spans="1:50" s="7" customFormat="1" ht="1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  <c r="AV2613"/>
      <c r="AW2613"/>
      <c r="AX2613"/>
    </row>
    <row r="2614" spans="1:50" s="7" customFormat="1" ht="1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  <c r="AV2614"/>
      <c r="AW2614"/>
      <c r="AX2614"/>
    </row>
    <row r="2615" spans="1:50" s="7" customFormat="1" ht="12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  <c r="AV2615"/>
      <c r="AW2615"/>
      <c r="AX2615"/>
    </row>
    <row r="2616" spans="1:50" s="7" customFormat="1" ht="1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  <c r="AV2616"/>
      <c r="AW2616"/>
      <c r="AX2616"/>
    </row>
    <row r="2617" spans="1:50" s="7" customFormat="1" ht="1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  <c r="AV2617"/>
      <c r="AW2617"/>
      <c r="AX2617"/>
    </row>
    <row r="2618" spans="1:50" s="7" customFormat="1" ht="12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  <c r="AV2618"/>
      <c r="AW2618"/>
      <c r="AX2618"/>
    </row>
    <row r="2619" spans="1:50" s="7" customFormat="1" ht="1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  <c r="AV2619"/>
      <c r="AW2619"/>
      <c r="AX2619"/>
    </row>
    <row r="2620" spans="1:50" s="7" customFormat="1" ht="1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  <c r="AV2620"/>
      <c r="AW2620"/>
      <c r="AX2620"/>
    </row>
    <row r="2621" spans="1:50" s="7" customFormat="1" ht="12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  <c r="AV2621"/>
      <c r="AW2621"/>
      <c r="AX2621"/>
    </row>
    <row r="2622" spans="1:50" s="7" customFormat="1" ht="1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  <c r="AV2622"/>
      <c r="AW2622"/>
      <c r="AX2622"/>
    </row>
    <row r="2623" spans="1:50" s="7" customFormat="1" ht="1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  <c r="AV2623"/>
      <c r="AW2623"/>
      <c r="AX2623"/>
    </row>
    <row r="2624" spans="1:50" s="7" customFormat="1" ht="12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  <c r="AV2624"/>
      <c r="AW2624"/>
      <c r="AX2624"/>
    </row>
    <row r="2625" spans="1:50" s="7" customFormat="1" ht="1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  <c r="AV2625"/>
      <c r="AW2625"/>
      <c r="AX2625"/>
    </row>
    <row r="2626" spans="1:50" s="7" customFormat="1" ht="1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  <c r="AV2626"/>
      <c r="AW2626"/>
      <c r="AX2626"/>
    </row>
    <row r="2627" spans="1:50" s="7" customFormat="1" ht="12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  <c r="AV2627"/>
      <c r="AW2627"/>
      <c r="AX2627"/>
    </row>
    <row r="2628" spans="1:50" s="7" customFormat="1" ht="1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</row>
    <row r="2629" spans="1:50" s="7" customFormat="1" ht="1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</row>
    <row r="2630" spans="1:50" s="7" customFormat="1" ht="12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  <c r="AV2630"/>
      <c r="AW2630"/>
      <c r="AX2630"/>
    </row>
    <row r="2631" spans="1:50" s="7" customFormat="1" ht="1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  <c r="AV2631"/>
      <c r="AW2631"/>
      <c r="AX2631"/>
    </row>
  </sheetData>
  <sheetProtection/>
  <mergeCells count="5">
    <mergeCell ref="A2:AX2"/>
    <mergeCell ref="A3:AX3"/>
    <mergeCell ref="A4:AX4"/>
    <mergeCell ref="A6:AX6"/>
    <mergeCell ref="A80:I80"/>
  </mergeCells>
  <printOptions/>
  <pageMargins left="0.7086614173228347" right="0.3937007874015748" top="0.5905511811023623" bottom="0.7480314960629921" header="0.31496062992125984" footer="0.31496062992125984"/>
  <pageSetup fitToHeight="0" horizontalDpi="600" verticalDpi="600" orientation="landscape" paperSize="125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N85"/>
  <sheetViews>
    <sheetView zoomScale="95" zoomScaleNormal="95" zoomScalePageLayoutView="0" workbookViewId="0" topLeftCell="B1">
      <pane xSplit="9" ySplit="10" topLeftCell="M74" activePane="bottomRight" state="frozen"/>
      <selection pane="topLeft" activeCell="B1" sqref="B1"/>
      <selection pane="topRight" activeCell="K1" sqref="K1"/>
      <selection pane="bottomLeft" activeCell="B11" sqref="B11"/>
      <selection pane="bottomRight" activeCell="M36" sqref="M36"/>
    </sheetView>
  </sheetViews>
  <sheetFormatPr defaultColWidth="11.59765625" defaultRowHeight="15"/>
  <cols>
    <col min="1" max="1" width="1.59765625" style="460" customWidth="1"/>
    <col min="2" max="2" width="4.69921875" style="460" customWidth="1"/>
    <col min="3" max="3" width="5.69921875" style="460" customWidth="1"/>
    <col min="4" max="4" width="6.296875" style="460" customWidth="1"/>
    <col min="5" max="5" width="3.69921875" style="460" customWidth="1"/>
    <col min="6" max="7" width="4.69921875" style="460" customWidth="1"/>
    <col min="8" max="8" width="3.09765625" style="460" customWidth="1"/>
    <col min="9" max="9" width="7.296875" style="460" customWidth="1"/>
    <col min="10" max="10" width="43.09765625" style="460" customWidth="1"/>
    <col min="11" max="11" width="19.296875" style="460" customWidth="1"/>
    <col min="12" max="12" width="16.69921875" style="460" customWidth="1"/>
    <col min="13" max="13" width="18.69921875" style="460" customWidth="1"/>
    <col min="14" max="14" width="16.69921875" style="460" hidden="1" customWidth="1"/>
    <col min="15" max="15" width="14.8984375" style="460" hidden="1" customWidth="1"/>
    <col min="16" max="16" width="17.69921875" style="460" hidden="1" customWidth="1"/>
    <col min="17" max="17" width="16.296875" style="460" hidden="1" customWidth="1"/>
    <col min="18" max="18" width="15" style="461" hidden="1" customWidth="1"/>
    <col min="19" max="19" width="15" style="460" hidden="1" customWidth="1"/>
    <col min="20" max="20" width="15.09765625" style="460" hidden="1" customWidth="1"/>
    <col min="21" max="21" width="15" style="460" hidden="1" customWidth="1"/>
    <col min="22" max="22" width="15" style="460" bestFit="1" customWidth="1"/>
    <col min="23" max="25" width="13.19921875" style="460" hidden="1" customWidth="1"/>
    <col min="26" max="26" width="16.69921875" style="460" customWidth="1"/>
    <col min="27" max="27" width="15.19921875" style="460" hidden="1" customWidth="1"/>
    <col min="28" max="28" width="15.296875" style="460" hidden="1" customWidth="1"/>
    <col min="29" max="29" width="16.8984375" style="460" hidden="1" customWidth="1"/>
    <col min="30" max="30" width="14.69921875" style="460" hidden="1" customWidth="1"/>
    <col min="31" max="31" width="14.296875" style="460" hidden="1" customWidth="1"/>
    <col min="32" max="32" width="14.19921875" style="460" hidden="1" customWidth="1"/>
    <col min="33" max="33" width="14.69921875" style="460" hidden="1" customWidth="1"/>
    <col min="34" max="34" width="15" style="460" hidden="1" customWidth="1"/>
    <col min="35" max="35" width="15.3984375" style="460" customWidth="1"/>
    <col min="36" max="36" width="9.19921875" style="460" hidden="1" customWidth="1"/>
    <col min="37" max="37" width="10.8984375" style="460" hidden="1" customWidth="1"/>
    <col min="38" max="38" width="10.19921875" style="460" hidden="1" customWidth="1"/>
    <col min="39" max="39" width="16.296875" style="460" customWidth="1"/>
    <col min="40" max="40" width="19.09765625" style="460" customWidth="1"/>
    <col min="41" max="16384" width="11.59765625" style="460" customWidth="1"/>
  </cols>
  <sheetData>
    <row r="1" ht="12.75"/>
    <row r="2" ht="12.75"/>
    <row r="3" ht="13.5" thickBot="1"/>
    <row r="4" spans="1:40" ht="18">
      <c r="A4" s="571" t="s">
        <v>2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3"/>
    </row>
    <row r="5" spans="1:40" ht="18">
      <c r="A5" s="574" t="s">
        <v>3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6"/>
    </row>
    <row r="6" spans="1:40" ht="18">
      <c r="A6" s="574" t="s">
        <v>354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6"/>
    </row>
    <row r="7" spans="1:40" ht="18">
      <c r="A7" s="446"/>
      <c r="B7" s="462"/>
      <c r="C7" s="462"/>
      <c r="D7" s="462"/>
      <c r="E7" s="462"/>
      <c r="F7" s="462"/>
      <c r="G7" s="462"/>
      <c r="H7" s="462"/>
      <c r="I7" s="462"/>
      <c r="J7" s="462"/>
      <c r="K7" s="463"/>
      <c r="L7" s="464"/>
      <c r="M7" s="539"/>
      <c r="N7" s="465"/>
      <c r="O7" s="462"/>
      <c r="P7" s="462"/>
      <c r="Q7" s="462"/>
      <c r="R7" s="466"/>
      <c r="S7" s="462"/>
      <c r="T7" s="462"/>
      <c r="U7" s="462"/>
      <c r="V7" s="467"/>
      <c r="W7" s="462"/>
      <c r="X7" s="462"/>
      <c r="Y7" s="462"/>
      <c r="Z7" s="468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9" t="s">
        <v>390</v>
      </c>
      <c r="AN7" s="447"/>
    </row>
    <row r="8" spans="1:40" ht="14.25" thickBot="1">
      <c r="A8" s="470"/>
      <c r="B8" s="471"/>
      <c r="L8" s="472"/>
      <c r="M8" s="472"/>
      <c r="N8" s="472"/>
      <c r="S8" s="472"/>
      <c r="T8" s="472"/>
      <c r="U8" s="472"/>
      <c r="W8" s="472"/>
      <c r="Z8" s="472"/>
      <c r="AM8" s="473"/>
      <c r="AN8" s="474"/>
    </row>
    <row r="9" spans="1:40" ht="13.5">
      <c r="A9" s="475"/>
      <c r="B9" s="476" t="s">
        <v>355</v>
      </c>
      <c r="C9" s="477"/>
      <c r="D9" s="477"/>
      <c r="E9" s="477"/>
      <c r="F9" s="477"/>
      <c r="G9" s="477"/>
      <c r="H9" s="477"/>
      <c r="I9" s="477"/>
      <c r="J9" s="478"/>
      <c r="K9" s="479"/>
      <c r="L9" s="479"/>
      <c r="M9" s="479"/>
      <c r="N9" s="479"/>
      <c r="O9" s="479"/>
      <c r="P9" s="479"/>
      <c r="Q9" s="479"/>
      <c r="R9" s="480"/>
      <c r="S9" s="479"/>
      <c r="T9" s="479"/>
      <c r="U9" s="479"/>
      <c r="V9" s="479"/>
      <c r="W9" s="479"/>
      <c r="X9" s="479"/>
      <c r="Y9" s="479"/>
      <c r="Z9" s="481"/>
      <c r="AA9" s="479"/>
      <c r="AB9" s="479"/>
      <c r="AC9" s="479"/>
      <c r="AD9" s="479"/>
      <c r="AE9" s="479"/>
      <c r="AF9" s="481"/>
      <c r="AG9" s="479"/>
      <c r="AH9" s="479"/>
      <c r="AI9" s="479"/>
      <c r="AJ9" s="479"/>
      <c r="AK9" s="479"/>
      <c r="AL9" s="479"/>
      <c r="AM9" s="479"/>
      <c r="AN9" s="482"/>
    </row>
    <row r="10" spans="1:40" ht="44.25" customHeight="1">
      <c r="A10" s="483" t="s">
        <v>15</v>
      </c>
      <c r="B10" s="484" t="s">
        <v>264</v>
      </c>
      <c r="C10" s="484" t="s">
        <v>17</v>
      </c>
      <c r="D10" s="484" t="s">
        <v>356</v>
      </c>
      <c r="E10" s="484" t="s">
        <v>357</v>
      </c>
      <c r="F10" s="484" t="s">
        <v>20</v>
      </c>
      <c r="G10" s="484" t="s">
        <v>358</v>
      </c>
      <c r="H10" s="484" t="s">
        <v>22</v>
      </c>
      <c r="I10" s="484" t="s">
        <v>52</v>
      </c>
      <c r="J10" s="485" t="s">
        <v>359</v>
      </c>
      <c r="K10" s="486" t="s">
        <v>360</v>
      </c>
      <c r="L10" s="486" t="s">
        <v>210</v>
      </c>
      <c r="M10" s="486" t="s">
        <v>211</v>
      </c>
      <c r="N10" s="486" t="s">
        <v>361</v>
      </c>
      <c r="O10" s="486" t="s">
        <v>362</v>
      </c>
      <c r="P10" s="486" t="s">
        <v>363</v>
      </c>
      <c r="Q10" s="486" t="s">
        <v>364</v>
      </c>
      <c r="R10" s="487" t="s">
        <v>365</v>
      </c>
      <c r="S10" s="486" t="s">
        <v>366</v>
      </c>
      <c r="T10" s="486" t="s">
        <v>367</v>
      </c>
      <c r="U10" s="486" t="s">
        <v>368</v>
      </c>
      <c r="V10" s="486" t="s">
        <v>369</v>
      </c>
      <c r="W10" s="486" t="s">
        <v>370</v>
      </c>
      <c r="X10" s="486" t="s">
        <v>371</v>
      </c>
      <c r="Y10" s="486" t="s">
        <v>372</v>
      </c>
      <c r="Z10" s="486" t="s">
        <v>373</v>
      </c>
      <c r="AA10" s="486" t="s">
        <v>374</v>
      </c>
      <c r="AB10" s="486" t="s">
        <v>375</v>
      </c>
      <c r="AC10" s="486" t="s">
        <v>376</v>
      </c>
      <c r="AD10" s="486" t="s">
        <v>377</v>
      </c>
      <c r="AE10" s="486" t="s">
        <v>378</v>
      </c>
      <c r="AF10" s="486" t="s">
        <v>379</v>
      </c>
      <c r="AG10" s="486" t="s">
        <v>380</v>
      </c>
      <c r="AH10" s="486" t="s">
        <v>381</v>
      </c>
      <c r="AI10" s="486" t="s">
        <v>382</v>
      </c>
      <c r="AJ10" s="486" t="s">
        <v>383</v>
      </c>
      <c r="AK10" s="486" t="s">
        <v>384</v>
      </c>
      <c r="AL10" s="486" t="s">
        <v>385</v>
      </c>
      <c r="AM10" s="486" t="s">
        <v>386</v>
      </c>
      <c r="AN10" s="488" t="s">
        <v>212</v>
      </c>
    </row>
    <row r="11" spans="1:40" ht="23.25" customHeight="1">
      <c r="A11" s="483"/>
      <c r="B11" s="489"/>
      <c r="C11" s="490"/>
      <c r="D11" s="490"/>
      <c r="E11" s="490"/>
      <c r="F11" s="490"/>
      <c r="G11" s="490"/>
      <c r="H11" s="490"/>
      <c r="I11" s="490"/>
      <c r="J11" s="491" t="s">
        <v>47</v>
      </c>
      <c r="K11" s="492"/>
      <c r="L11" s="492"/>
      <c r="M11" s="492"/>
      <c r="N11" s="492"/>
      <c r="O11" s="492"/>
      <c r="P11" s="492"/>
      <c r="Q11" s="492"/>
      <c r="R11" s="493"/>
      <c r="S11" s="492"/>
      <c r="T11" s="492"/>
      <c r="U11" s="492"/>
      <c r="V11" s="494"/>
      <c r="W11" s="494"/>
      <c r="X11" s="492"/>
      <c r="Y11" s="492"/>
      <c r="Z11" s="492"/>
      <c r="AA11" s="492"/>
      <c r="AB11" s="492"/>
      <c r="AC11" s="492"/>
      <c r="AD11" s="492"/>
      <c r="AE11" s="493"/>
      <c r="AF11" s="492"/>
      <c r="AG11" s="492"/>
      <c r="AH11" s="492"/>
      <c r="AI11" s="492"/>
      <c r="AJ11" s="494"/>
      <c r="AK11" s="492"/>
      <c r="AL11" s="492"/>
      <c r="AM11" s="492"/>
      <c r="AN11" s="495"/>
    </row>
    <row r="12" spans="1:40" ht="33.75" customHeight="1">
      <c r="A12" s="483"/>
      <c r="B12" s="540" t="s">
        <v>265</v>
      </c>
      <c r="C12" s="540" t="s">
        <v>48</v>
      </c>
      <c r="D12" s="540" t="s">
        <v>48</v>
      </c>
      <c r="E12" s="540" t="s">
        <v>48</v>
      </c>
      <c r="F12" s="540" t="s">
        <v>267</v>
      </c>
      <c r="G12" s="540" t="s">
        <v>275</v>
      </c>
      <c r="H12" s="540" t="s">
        <v>51</v>
      </c>
      <c r="I12" s="540" t="s">
        <v>268</v>
      </c>
      <c r="J12" s="541" t="s">
        <v>279</v>
      </c>
      <c r="K12" s="542">
        <v>17390238</v>
      </c>
      <c r="L12" s="497"/>
      <c r="M12" s="498">
        <f>K12+L12</f>
        <v>17390238</v>
      </c>
      <c r="N12" s="498">
        <v>17390238</v>
      </c>
      <c r="O12" s="497">
        <v>0</v>
      </c>
      <c r="P12" s="498"/>
      <c r="Q12" s="499"/>
      <c r="R12" s="498">
        <v>0</v>
      </c>
      <c r="S12" s="500"/>
      <c r="T12" s="498">
        <v>0</v>
      </c>
      <c r="U12" s="500"/>
      <c r="V12" s="500"/>
      <c r="W12" s="500"/>
      <c r="X12" s="498"/>
      <c r="Y12" s="498"/>
      <c r="Z12" s="498">
        <f>SUM(N12:Y12)</f>
        <v>17390238</v>
      </c>
      <c r="AA12" s="498">
        <v>0</v>
      </c>
      <c r="AB12" s="498">
        <v>17390238</v>
      </c>
      <c r="AC12" s="498"/>
      <c r="AD12" s="499"/>
      <c r="AE12" s="498">
        <v>0</v>
      </c>
      <c r="AF12" s="500"/>
      <c r="AG12" s="498">
        <v>0</v>
      </c>
      <c r="AH12" s="500"/>
      <c r="AI12" s="500"/>
      <c r="AJ12" s="500"/>
      <c r="AK12" s="501"/>
      <c r="AL12" s="498"/>
      <c r="AM12" s="498">
        <f>SUM(AA12:AL12)</f>
        <v>17390238</v>
      </c>
      <c r="AN12" s="502">
        <f>M12-Z12</f>
        <v>0</v>
      </c>
    </row>
    <row r="13" spans="1:40" ht="18.75" customHeight="1">
      <c r="A13" s="483"/>
      <c r="B13" s="503"/>
      <c r="C13" s="503"/>
      <c r="D13" s="503"/>
      <c r="E13" s="503"/>
      <c r="F13" s="503"/>
      <c r="G13" s="503"/>
      <c r="H13" s="503"/>
      <c r="I13" s="503"/>
      <c r="J13" s="504" t="s">
        <v>103</v>
      </c>
      <c r="K13" s="505">
        <f>K12</f>
        <v>17390238</v>
      </c>
      <c r="L13" s="505">
        <f aca="true" t="shared" si="0" ref="L13:AN13">L12</f>
        <v>0</v>
      </c>
      <c r="M13" s="505">
        <f t="shared" si="0"/>
        <v>17390238</v>
      </c>
      <c r="N13" s="505">
        <f t="shared" si="0"/>
        <v>17390238</v>
      </c>
      <c r="O13" s="505">
        <f t="shared" si="0"/>
        <v>0</v>
      </c>
      <c r="P13" s="505">
        <f t="shared" si="0"/>
        <v>0</v>
      </c>
      <c r="Q13" s="505">
        <f t="shared" si="0"/>
        <v>0</v>
      </c>
      <c r="R13" s="505">
        <f t="shared" si="0"/>
        <v>0</v>
      </c>
      <c r="S13" s="505">
        <f t="shared" si="0"/>
        <v>0</v>
      </c>
      <c r="T13" s="505">
        <f t="shared" si="0"/>
        <v>0</v>
      </c>
      <c r="U13" s="505">
        <f t="shared" si="0"/>
        <v>0</v>
      </c>
      <c r="V13" s="505">
        <f t="shared" si="0"/>
        <v>0</v>
      </c>
      <c r="W13" s="505">
        <f t="shared" si="0"/>
        <v>0</v>
      </c>
      <c r="X13" s="505">
        <f t="shared" si="0"/>
        <v>0</v>
      </c>
      <c r="Y13" s="505">
        <f t="shared" si="0"/>
        <v>0</v>
      </c>
      <c r="Z13" s="505">
        <f t="shared" si="0"/>
        <v>17390238</v>
      </c>
      <c r="AA13" s="505">
        <f t="shared" si="0"/>
        <v>0</v>
      </c>
      <c r="AB13" s="505">
        <f t="shared" si="0"/>
        <v>17390238</v>
      </c>
      <c r="AC13" s="505">
        <f t="shared" si="0"/>
        <v>0</v>
      </c>
      <c r="AD13" s="505">
        <f t="shared" si="0"/>
        <v>0</v>
      </c>
      <c r="AE13" s="505">
        <f t="shared" si="0"/>
        <v>0</v>
      </c>
      <c r="AF13" s="505">
        <f t="shared" si="0"/>
        <v>0</v>
      </c>
      <c r="AG13" s="505">
        <f t="shared" si="0"/>
        <v>0</v>
      </c>
      <c r="AH13" s="505">
        <f t="shared" si="0"/>
        <v>0</v>
      </c>
      <c r="AI13" s="505">
        <f t="shared" si="0"/>
        <v>0</v>
      </c>
      <c r="AJ13" s="505">
        <f t="shared" si="0"/>
        <v>0</v>
      </c>
      <c r="AK13" s="505">
        <f t="shared" si="0"/>
        <v>0</v>
      </c>
      <c r="AL13" s="505">
        <f t="shared" si="0"/>
        <v>0</v>
      </c>
      <c r="AM13" s="505">
        <f t="shared" si="0"/>
        <v>17390238</v>
      </c>
      <c r="AN13" s="505">
        <f t="shared" si="0"/>
        <v>0</v>
      </c>
    </row>
    <row r="14" spans="1:40" ht="26.25" customHeight="1">
      <c r="A14" s="506"/>
      <c r="B14" s="507"/>
      <c r="C14" s="507"/>
      <c r="D14" s="507"/>
      <c r="E14" s="507"/>
      <c r="F14" s="507"/>
      <c r="G14" s="507"/>
      <c r="H14" s="507"/>
      <c r="I14" s="507"/>
      <c r="J14" s="508" t="s">
        <v>387</v>
      </c>
      <c r="K14" s="492"/>
      <c r="L14" s="492"/>
      <c r="M14" s="492"/>
      <c r="N14" s="492"/>
      <c r="O14" s="492"/>
      <c r="P14" s="492"/>
      <c r="Q14" s="492"/>
      <c r="R14" s="493"/>
      <c r="S14" s="492"/>
      <c r="T14" s="492"/>
      <c r="U14" s="492"/>
      <c r="V14" s="494"/>
      <c r="W14" s="494"/>
      <c r="X14" s="492"/>
      <c r="Y14" s="492"/>
      <c r="Z14" s="492"/>
      <c r="AA14" s="492"/>
      <c r="AB14" s="492"/>
      <c r="AC14" s="492"/>
      <c r="AD14" s="492"/>
      <c r="AE14" s="493"/>
      <c r="AF14" s="492"/>
      <c r="AG14" s="492"/>
      <c r="AH14" s="492"/>
      <c r="AI14" s="492"/>
      <c r="AJ14" s="494"/>
      <c r="AK14" s="492"/>
      <c r="AL14" s="492"/>
      <c r="AM14" s="492"/>
      <c r="AN14" s="495"/>
    </row>
    <row r="15" spans="1:40" ht="26.25" customHeight="1">
      <c r="A15" s="506"/>
      <c r="B15" s="543" t="s">
        <v>265</v>
      </c>
      <c r="C15" s="543" t="s">
        <v>278</v>
      </c>
      <c r="D15" s="543" t="s">
        <v>48</v>
      </c>
      <c r="E15" s="543" t="s">
        <v>48</v>
      </c>
      <c r="F15" s="543" t="s">
        <v>271</v>
      </c>
      <c r="G15" s="543" t="s">
        <v>276</v>
      </c>
      <c r="H15" s="543" t="s">
        <v>74</v>
      </c>
      <c r="I15" s="543" t="s">
        <v>268</v>
      </c>
      <c r="J15" s="544" t="s">
        <v>281</v>
      </c>
      <c r="K15" s="547">
        <v>12045800</v>
      </c>
      <c r="L15" s="547"/>
      <c r="M15" s="547">
        <f>K15+L15</f>
        <v>12045800</v>
      </c>
      <c r="N15" s="498">
        <v>0</v>
      </c>
      <c r="O15" s="498">
        <v>12045800</v>
      </c>
      <c r="P15" s="498">
        <v>0</v>
      </c>
      <c r="Q15" s="498">
        <v>0</v>
      </c>
      <c r="R15" s="510"/>
      <c r="S15" s="498"/>
      <c r="T15" s="498">
        <v>0</v>
      </c>
      <c r="U15" s="498">
        <v>0</v>
      </c>
      <c r="V15" s="501">
        <v>0</v>
      </c>
      <c r="W15" s="501"/>
      <c r="X15" s="498"/>
      <c r="Y15" s="498"/>
      <c r="Z15" s="498">
        <f>SUM(N15:Y15)</f>
        <v>12045800</v>
      </c>
      <c r="AA15" s="498">
        <v>0</v>
      </c>
      <c r="AB15" s="498">
        <v>12045800</v>
      </c>
      <c r="AC15" s="498">
        <v>0</v>
      </c>
      <c r="AD15" s="498">
        <v>0</v>
      </c>
      <c r="AE15" s="510"/>
      <c r="AF15" s="498"/>
      <c r="AG15" s="498">
        <v>0</v>
      </c>
      <c r="AH15" s="498">
        <v>0</v>
      </c>
      <c r="AI15" s="498">
        <v>0</v>
      </c>
      <c r="AJ15" s="501"/>
      <c r="AK15" s="498"/>
      <c r="AL15" s="498"/>
      <c r="AM15" s="498">
        <f>SUM(AA15:AL15)</f>
        <v>12045800</v>
      </c>
      <c r="AN15" s="498">
        <f>M15-Z15</f>
        <v>0</v>
      </c>
    </row>
    <row r="16" spans="1:40" ht="26.25" customHeight="1">
      <c r="A16" s="506"/>
      <c r="B16" s="543" t="s">
        <v>265</v>
      </c>
      <c r="C16" s="543" t="s">
        <v>278</v>
      </c>
      <c r="D16" s="543" t="s">
        <v>48</v>
      </c>
      <c r="E16" s="543" t="s">
        <v>48</v>
      </c>
      <c r="F16" s="543" t="s">
        <v>273</v>
      </c>
      <c r="G16" s="543" t="s">
        <v>269</v>
      </c>
      <c r="H16" s="543" t="s">
        <v>51</v>
      </c>
      <c r="I16" s="543" t="s">
        <v>268</v>
      </c>
      <c r="J16" s="544" t="s">
        <v>282</v>
      </c>
      <c r="K16" s="547">
        <v>2822000</v>
      </c>
      <c r="L16" s="547"/>
      <c r="M16" s="547">
        <f aca="true" t="shared" si="1" ref="M16:M35">K16+L16</f>
        <v>2822000</v>
      </c>
      <c r="N16" s="498">
        <v>0</v>
      </c>
      <c r="O16" s="498">
        <v>0</v>
      </c>
      <c r="P16" s="498">
        <v>0</v>
      </c>
      <c r="Q16" s="498">
        <v>0</v>
      </c>
      <c r="R16" s="510"/>
      <c r="S16" s="498"/>
      <c r="T16" s="498">
        <v>0</v>
      </c>
      <c r="U16" s="498">
        <v>0</v>
      </c>
      <c r="V16" s="501">
        <v>0</v>
      </c>
      <c r="W16" s="501"/>
      <c r="X16" s="498"/>
      <c r="Y16" s="498"/>
      <c r="Z16" s="498">
        <f aca="true" t="shared" si="2" ref="Z16:Z74">SUM(N16:Y16)</f>
        <v>0</v>
      </c>
      <c r="AA16" s="498">
        <v>0</v>
      </c>
      <c r="AB16" s="498">
        <v>0</v>
      </c>
      <c r="AC16" s="498">
        <v>0</v>
      </c>
      <c r="AD16" s="498">
        <v>0</v>
      </c>
      <c r="AE16" s="510"/>
      <c r="AF16" s="498"/>
      <c r="AG16" s="498">
        <v>0</v>
      </c>
      <c r="AH16" s="498">
        <v>0</v>
      </c>
      <c r="AI16" s="498">
        <v>0</v>
      </c>
      <c r="AJ16" s="501"/>
      <c r="AK16" s="498"/>
      <c r="AL16" s="498"/>
      <c r="AM16" s="498">
        <f aca="true" t="shared" si="3" ref="AM16:AM74">SUM(AA16:AL16)</f>
        <v>0</v>
      </c>
      <c r="AN16" s="498">
        <f aca="true" t="shared" si="4" ref="AN16:AN35">M16-Z16</f>
        <v>2822000</v>
      </c>
    </row>
    <row r="17" spans="1:40" ht="27" customHeight="1">
      <c r="A17" s="506"/>
      <c r="B17" s="543" t="s">
        <v>265</v>
      </c>
      <c r="C17" s="543" t="s">
        <v>278</v>
      </c>
      <c r="D17" s="543" t="s">
        <v>278</v>
      </c>
      <c r="E17" s="543" t="s">
        <v>48</v>
      </c>
      <c r="F17" s="543" t="s">
        <v>269</v>
      </c>
      <c r="G17" s="543" t="s">
        <v>271</v>
      </c>
      <c r="H17" s="543" t="s">
        <v>51</v>
      </c>
      <c r="I17" s="543" t="s">
        <v>268</v>
      </c>
      <c r="J17" s="544" t="s">
        <v>283</v>
      </c>
      <c r="K17" s="547">
        <v>19780500</v>
      </c>
      <c r="L17" s="547"/>
      <c r="M17" s="547">
        <f t="shared" si="1"/>
        <v>19780500</v>
      </c>
      <c r="N17" s="498">
        <v>0</v>
      </c>
      <c r="O17" s="498">
        <v>0</v>
      </c>
      <c r="P17" s="498">
        <v>0</v>
      </c>
      <c r="Q17" s="498">
        <v>0</v>
      </c>
      <c r="R17" s="510"/>
      <c r="S17" s="498"/>
      <c r="T17" s="498">
        <v>0</v>
      </c>
      <c r="U17" s="498">
        <v>0</v>
      </c>
      <c r="V17" s="501">
        <v>0</v>
      </c>
      <c r="W17" s="501"/>
      <c r="X17" s="498"/>
      <c r="Y17" s="498"/>
      <c r="Z17" s="498">
        <f t="shared" si="2"/>
        <v>0</v>
      </c>
      <c r="AA17" s="498">
        <v>0</v>
      </c>
      <c r="AB17" s="498">
        <v>0</v>
      </c>
      <c r="AC17" s="498">
        <v>0</v>
      </c>
      <c r="AD17" s="498">
        <v>0</v>
      </c>
      <c r="AE17" s="510"/>
      <c r="AF17" s="498"/>
      <c r="AG17" s="498">
        <v>0</v>
      </c>
      <c r="AH17" s="498">
        <v>0</v>
      </c>
      <c r="AI17" s="498">
        <v>0</v>
      </c>
      <c r="AJ17" s="501"/>
      <c r="AK17" s="498"/>
      <c r="AL17" s="498"/>
      <c r="AM17" s="498">
        <f t="shared" si="3"/>
        <v>0</v>
      </c>
      <c r="AN17" s="498">
        <f t="shared" si="4"/>
        <v>19780500</v>
      </c>
    </row>
    <row r="18" spans="1:40" ht="23.25" customHeight="1">
      <c r="A18" s="506"/>
      <c r="B18" s="543" t="s">
        <v>265</v>
      </c>
      <c r="C18" s="543" t="s">
        <v>278</v>
      </c>
      <c r="D18" s="543" t="s">
        <v>278</v>
      </c>
      <c r="E18" s="543" t="s">
        <v>48</v>
      </c>
      <c r="F18" s="543" t="s">
        <v>269</v>
      </c>
      <c r="G18" s="543" t="s">
        <v>275</v>
      </c>
      <c r="H18" s="543" t="s">
        <v>51</v>
      </c>
      <c r="I18" s="543" t="s">
        <v>268</v>
      </c>
      <c r="J18" s="544" t="s">
        <v>284</v>
      </c>
      <c r="K18" s="547">
        <v>9419012.81</v>
      </c>
      <c r="L18" s="547"/>
      <c r="M18" s="547">
        <f t="shared" si="1"/>
        <v>9419012.81</v>
      </c>
      <c r="N18" s="498">
        <v>0</v>
      </c>
      <c r="O18" s="498">
        <v>8296841.06</v>
      </c>
      <c r="P18" s="498">
        <v>0</v>
      </c>
      <c r="Q18" s="498">
        <v>0</v>
      </c>
      <c r="R18" s="510"/>
      <c r="S18" s="498"/>
      <c r="T18" s="498">
        <v>0</v>
      </c>
      <c r="U18" s="498">
        <v>0</v>
      </c>
      <c r="V18" s="501">
        <v>0</v>
      </c>
      <c r="W18" s="501"/>
      <c r="X18" s="498"/>
      <c r="Y18" s="498"/>
      <c r="Z18" s="498">
        <f t="shared" si="2"/>
        <v>8296841.06</v>
      </c>
      <c r="AA18" s="498">
        <v>0</v>
      </c>
      <c r="AB18" s="498">
        <v>8296841.06</v>
      </c>
      <c r="AC18" s="498">
        <v>0</v>
      </c>
      <c r="AD18" s="498">
        <v>0</v>
      </c>
      <c r="AE18" s="510"/>
      <c r="AF18" s="498"/>
      <c r="AG18" s="498">
        <v>0</v>
      </c>
      <c r="AH18" s="498">
        <v>0</v>
      </c>
      <c r="AI18" s="498">
        <v>0</v>
      </c>
      <c r="AJ18" s="501"/>
      <c r="AK18" s="498"/>
      <c r="AL18" s="498"/>
      <c r="AM18" s="498">
        <f t="shared" si="3"/>
        <v>8296841.06</v>
      </c>
      <c r="AN18" s="498">
        <f t="shared" si="4"/>
        <v>1122171.750000001</v>
      </c>
    </row>
    <row r="19" spans="1:40" ht="32.25" customHeight="1">
      <c r="A19" s="506"/>
      <c r="B19" s="543" t="s">
        <v>265</v>
      </c>
      <c r="C19" s="543" t="s">
        <v>278</v>
      </c>
      <c r="D19" s="543" t="s">
        <v>278</v>
      </c>
      <c r="E19" s="543" t="s">
        <v>48</v>
      </c>
      <c r="F19" s="543" t="s">
        <v>270</v>
      </c>
      <c r="G19" s="543" t="s">
        <v>270</v>
      </c>
      <c r="H19" s="543" t="s">
        <v>51</v>
      </c>
      <c r="I19" s="543" t="s">
        <v>268</v>
      </c>
      <c r="J19" s="544" t="s">
        <v>285</v>
      </c>
      <c r="K19" s="547">
        <v>42995973</v>
      </c>
      <c r="L19" s="547"/>
      <c r="M19" s="547">
        <f t="shared" si="1"/>
        <v>42995973</v>
      </c>
      <c r="N19" s="498">
        <v>0</v>
      </c>
      <c r="O19" s="498">
        <v>10091537</v>
      </c>
      <c r="P19" s="498">
        <v>7390793</v>
      </c>
      <c r="Q19" s="498">
        <v>7302566</v>
      </c>
      <c r="R19" s="510">
        <v>5501066</v>
      </c>
      <c r="S19" s="498">
        <v>7019207</v>
      </c>
      <c r="T19" s="498">
        <v>5690804</v>
      </c>
      <c r="U19" s="498">
        <v>0</v>
      </c>
      <c r="V19" s="501">
        <v>0</v>
      </c>
      <c r="W19" s="501"/>
      <c r="X19" s="498"/>
      <c r="Y19" s="498"/>
      <c r="Z19" s="498">
        <f t="shared" si="2"/>
        <v>42995973</v>
      </c>
      <c r="AA19" s="498">
        <v>0</v>
      </c>
      <c r="AB19" s="498">
        <v>10091537</v>
      </c>
      <c r="AC19" s="498">
        <v>0</v>
      </c>
      <c r="AD19" s="498">
        <v>7390793</v>
      </c>
      <c r="AE19" s="510">
        <v>7302566</v>
      </c>
      <c r="AF19" s="498">
        <v>5501066</v>
      </c>
      <c r="AG19" s="498">
        <v>7019207</v>
      </c>
      <c r="AH19" s="498">
        <v>5690804</v>
      </c>
      <c r="AI19" s="498">
        <v>0</v>
      </c>
      <c r="AJ19" s="501"/>
      <c r="AK19" s="498"/>
      <c r="AL19" s="498"/>
      <c r="AM19" s="498">
        <f t="shared" si="3"/>
        <v>42995973</v>
      </c>
      <c r="AN19" s="498">
        <f t="shared" si="4"/>
        <v>0</v>
      </c>
    </row>
    <row r="20" spans="1:40" ht="29.25" customHeight="1">
      <c r="A20" s="506"/>
      <c r="B20" s="543" t="s">
        <v>265</v>
      </c>
      <c r="C20" s="543" t="s">
        <v>278</v>
      </c>
      <c r="D20" s="543" t="s">
        <v>278</v>
      </c>
      <c r="E20" s="543" t="s">
        <v>48</v>
      </c>
      <c r="F20" s="543" t="s">
        <v>271</v>
      </c>
      <c r="G20" s="543" t="s">
        <v>274</v>
      </c>
      <c r="H20" s="543" t="s">
        <v>51</v>
      </c>
      <c r="I20" s="543" t="s">
        <v>268</v>
      </c>
      <c r="J20" s="544" t="s">
        <v>280</v>
      </c>
      <c r="K20" s="547">
        <v>58992465</v>
      </c>
      <c r="L20" s="547"/>
      <c r="M20" s="547">
        <f t="shared" si="1"/>
        <v>58992465</v>
      </c>
      <c r="N20" s="498">
        <v>0</v>
      </c>
      <c r="O20" s="498">
        <v>0</v>
      </c>
      <c r="P20" s="498">
        <v>0</v>
      </c>
      <c r="Q20" s="498">
        <v>58992465</v>
      </c>
      <c r="R20" s="510"/>
      <c r="S20" s="498"/>
      <c r="T20" s="498">
        <v>0</v>
      </c>
      <c r="U20" s="498">
        <v>0</v>
      </c>
      <c r="V20" s="501">
        <v>0</v>
      </c>
      <c r="W20" s="501"/>
      <c r="X20" s="498"/>
      <c r="Y20" s="498"/>
      <c r="Z20" s="498">
        <f t="shared" si="2"/>
        <v>58992465</v>
      </c>
      <c r="AA20" s="498">
        <v>0</v>
      </c>
      <c r="AB20" s="498">
        <v>0</v>
      </c>
      <c r="AC20" s="498">
        <v>0</v>
      </c>
      <c r="AD20" s="498">
        <v>0</v>
      </c>
      <c r="AE20" s="510">
        <v>58992465</v>
      </c>
      <c r="AF20" s="498"/>
      <c r="AG20" s="498">
        <v>0</v>
      </c>
      <c r="AH20" s="498">
        <v>0</v>
      </c>
      <c r="AI20" s="498">
        <v>0</v>
      </c>
      <c r="AJ20" s="501"/>
      <c r="AK20" s="498"/>
      <c r="AL20" s="498"/>
      <c r="AM20" s="498">
        <f t="shared" si="3"/>
        <v>58992465</v>
      </c>
      <c r="AN20" s="498">
        <f t="shared" si="4"/>
        <v>0</v>
      </c>
    </row>
    <row r="21" spans="1:40" ht="26.25" customHeight="1">
      <c r="A21" s="506"/>
      <c r="B21" s="543" t="s">
        <v>265</v>
      </c>
      <c r="C21" s="543" t="s">
        <v>278</v>
      </c>
      <c r="D21" s="543" t="s">
        <v>278</v>
      </c>
      <c r="E21" s="543" t="s">
        <v>278</v>
      </c>
      <c r="F21" s="543" t="s">
        <v>272</v>
      </c>
      <c r="G21" s="543" t="s">
        <v>271</v>
      </c>
      <c r="H21" s="543" t="s">
        <v>74</v>
      </c>
      <c r="I21" s="543" t="s">
        <v>268</v>
      </c>
      <c r="J21" s="544" t="s">
        <v>286</v>
      </c>
      <c r="K21" s="547">
        <v>34933571</v>
      </c>
      <c r="L21" s="547"/>
      <c r="M21" s="547">
        <f t="shared" si="1"/>
        <v>34933571</v>
      </c>
      <c r="N21" s="498">
        <v>0</v>
      </c>
      <c r="O21" s="498">
        <v>0</v>
      </c>
      <c r="P21" s="498">
        <v>34933571</v>
      </c>
      <c r="Q21" s="498">
        <v>0</v>
      </c>
      <c r="R21" s="510"/>
      <c r="S21" s="498"/>
      <c r="T21" s="498">
        <v>0</v>
      </c>
      <c r="U21" s="498">
        <v>0</v>
      </c>
      <c r="V21" s="501">
        <v>0</v>
      </c>
      <c r="W21" s="501"/>
      <c r="X21" s="498"/>
      <c r="Y21" s="498"/>
      <c r="Z21" s="498">
        <f t="shared" si="2"/>
        <v>34933571</v>
      </c>
      <c r="AA21" s="498">
        <v>0</v>
      </c>
      <c r="AB21" s="498">
        <v>0</v>
      </c>
      <c r="AC21" s="498">
        <v>0</v>
      </c>
      <c r="AD21" s="498">
        <v>34933571</v>
      </c>
      <c r="AE21" s="510"/>
      <c r="AF21" s="498"/>
      <c r="AG21" s="498">
        <v>0</v>
      </c>
      <c r="AH21" s="498">
        <v>0</v>
      </c>
      <c r="AI21" s="498">
        <v>0</v>
      </c>
      <c r="AJ21" s="501"/>
      <c r="AK21" s="498"/>
      <c r="AL21" s="498"/>
      <c r="AM21" s="498">
        <f t="shared" si="3"/>
        <v>34933571</v>
      </c>
      <c r="AN21" s="498">
        <f t="shared" si="4"/>
        <v>0</v>
      </c>
    </row>
    <row r="22" spans="1:40" ht="22.5" customHeight="1">
      <c r="A22" s="506"/>
      <c r="B22" s="543" t="s">
        <v>265</v>
      </c>
      <c r="C22" s="543" t="s">
        <v>278</v>
      </c>
      <c r="D22" s="543" t="s">
        <v>278</v>
      </c>
      <c r="E22" s="543" t="s">
        <v>278</v>
      </c>
      <c r="F22" s="543" t="s">
        <v>273</v>
      </c>
      <c r="G22" s="543" t="s">
        <v>271</v>
      </c>
      <c r="H22" s="543" t="s">
        <v>51</v>
      </c>
      <c r="I22" s="543" t="s">
        <v>268</v>
      </c>
      <c r="J22" s="544" t="s">
        <v>287</v>
      </c>
      <c r="K22" s="547">
        <v>15281373</v>
      </c>
      <c r="L22" s="547"/>
      <c r="M22" s="547">
        <f t="shared" si="1"/>
        <v>15281373</v>
      </c>
      <c r="N22" s="498">
        <v>4947788</v>
      </c>
      <c r="O22" s="498">
        <v>10241407</v>
      </c>
      <c r="P22" s="498">
        <v>0</v>
      </c>
      <c r="Q22" s="498">
        <v>0</v>
      </c>
      <c r="R22" s="510"/>
      <c r="S22" s="498"/>
      <c r="T22" s="498">
        <v>0</v>
      </c>
      <c r="U22" s="498">
        <v>0</v>
      </c>
      <c r="V22" s="501">
        <v>0</v>
      </c>
      <c r="W22" s="501"/>
      <c r="X22" s="498"/>
      <c r="Y22" s="498"/>
      <c r="Z22" s="498">
        <f t="shared" si="2"/>
        <v>15189195</v>
      </c>
      <c r="AA22" s="498">
        <v>0</v>
      </c>
      <c r="AB22" s="498">
        <v>4973788</v>
      </c>
      <c r="AC22" s="498">
        <v>10215407</v>
      </c>
      <c r="AD22" s="498">
        <v>0</v>
      </c>
      <c r="AE22" s="510"/>
      <c r="AF22" s="498"/>
      <c r="AG22" s="498">
        <v>0</v>
      </c>
      <c r="AH22" s="498">
        <v>0</v>
      </c>
      <c r="AI22" s="498">
        <v>0</v>
      </c>
      <c r="AJ22" s="501"/>
      <c r="AK22" s="498"/>
      <c r="AL22" s="498"/>
      <c r="AM22" s="498">
        <f t="shared" si="3"/>
        <v>15189195</v>
      </c>
      <c r="AN22" s="498">
        <f t="shared" si="4"/>
        <v>92178</v>
      </c>
    </row>
    <row r="23" spans="1:40" ht="26.25" customHeight="1">
      <c r="A23" s="506"/>
      <c r="B23" s="543" t="s">
        <v>265</v>
      </c>
      <c r="C23" s="543" t="s">
        <v>278</v>
      </c>
      <c r="D23" s="543" t="s">
        <v>278</v>
      </c>
      <c r="E23" s="543" t="s">
        <v>278</v>
      </c>
      <c r="F23" s="543" t="s">
        <v>273</v>
      </c>
      <c r="G23" s="543" t="s">
        <v>275</v>
      </c>
      <c r="H23" s="543" t="s">
        <v>51</v>
      </c>
      <c r="I23" s="543" t="s">
        <v>268</v>
      </c>
      <c r="J23" s="544" t="s">
        <v>288</v>
      </c>
      <c r="K23" s="547">
        <v>113644793</v>
      </c>
      <c r="L23" s="547">
        <v>-10000</v>
      </c>
      <c r="M23" s="547">
        <f t="shared" si="1"/>
        <v>113634793</v>
      </c>
      <c r="N23" s="498">
        <v>0</v>
      </c>
      <c r="O23" s="498">
        <v>0</v>
      </c>
      <c r="P23" s="498">
        <v>20937280</v>
      </c>
      <c r="Q23" s="498">
        <v>9814940</v>
      </c>
      <c r="R23" s="510">
        <v>22514877</v>
      </c>
      <c r="S23" s="498"/>
      <c r="T23" s="498">
        <v>26853286</v>
      </c>
      <c r="U23" s="498">
        <v>11718040</v>
      </c>
      <c r="V23" s="501">
        <v>10955790</v>
      </c>
      <c r="W23" s="501"/>
      <c r="X23" s="498"/>
      <c r="Y23" s="498"/>
      <c r="Z23" s="498">
        <f t="shared" si="2"/>
        <v>102794213</v>
      </c>
      <c r="AA23" s="498">
        <v>0</v>
      </c>
      <c r="AB23" s="498">
        <v>0</v>
      </c>
      <c r="AC23" s="498">
        <v>0</v>
      </c>
      <c r="AD23" s="498">
        <v>20937280</v>
      </c>
      <c r="AE23" s="510">
        <v>9814940</v>
      </c>
      <c r="AF23" s="498">
        <v>22514877</v>
      </c>
      <c r="AG23" s="498">
        <v>0</v>
      </c>
      <c r="AH23" s="498">
        <v>26853286</v>
      </c>
      <c r="AI23" s="498">
        <v>11718040</v>
      </c>
      <c r="AJ23" s="501"/>
      <c r="AK23" s="498"/>
      <c r="AL23" s="498"/>
      <c r="AM23" s="498">
        <f t="shared" si="3"/>
        <v>91838423</v>
      </c>
      <c r="AN23" s="498">
        <f t="shared" si="4"/>
        <v>10840580</v>
      </c>
    </row>
    <row r="24" spans="1:40" ht="27.75" customHeight="1">
      <c r="A24" s="506"/>
      <c r="B24" s="543" t="s">
        <v>265</v>
      </c>
      <c r="C24" s="543" t="s">
        <v>278</v>
      </c>
      <c r="D24" s="543" t="s">
        <v>278</v>
      </c>
      <c r="E24" s="543" t="s">
        <v>278</v>
      </c>
      <c r="F24" s="543" t="s">
        <v>273</v>
      </c>
      <c r="G24" s="543" t="s">
        <v>276</v>
      </c>
      <c r="H24" s="543" t="s">
        <v>51</v>
      </c>
      <c r="I24" s="543" t="s">
        <v>268</v>
      </c>
      <c r="J24" s="544" t="s">
        <v>289</v>
      </c>
      <c r="K24" s="547">
        <v>5273681</v>
      </c>
      <c r="L24" s="547"/>
      <c r="M24" s="547">
        <f t="shared" si="1"/>
        <v>5273681</v>
      </c>
      <c r="N24" s="498">
        <v>5273681</v>
      </c>
      <c r="O24" s="498">
        <v>0</v>
      </c>
      <c r="P24" s="498">
        <v>0</v>
      </c>
      <c r="Q24" s="498">
        <v>0</v>
      </c>
      <c r="R24" s="510"/>
      <c r="S24" s="498"/>
      <c r="T24" s="498">
        <v>0</v>
      </c>
      <c r="U24" s="498">
        <v>0</v>
      </c>
      <c r="V24" s="501">
        <v>0</v>
      </c>
      <c r="W24" s="501"/>
      <c r="X24" s="498"/>
      <c r="Y24" s="498"/>
      <c r="Z24" s="498">
        <f t="shared" si="2"/>
        <v>5273681</v>
      </c>
      <c r="AA24" s="498">
        <v>0</v>
      </c>
      <c r="AB24" s="498">
        <v>5273681</v>
      </c>
      <c r="AC24" s="498">
        <v>0</v>
      </c>
      <c r="AD24" s="498">
        <v>0</v>
      </c>
      <c r="AE24" s="510"/>
      <c r="AF24" s="498"/>
      <c r="AG24" s="498">
        <v>0</v>
      </c>
      <c r="AH24" s="498">
        <v>0</v>
      </c>
      <c r="AI24" s="498">
        <v>0</v>
      </c>
      <c r="AJ24" s="501"/>
      <c r="AK24" s="498"/>
      <c r="AL24" s="498"/>
      <c r="AM24" s="498">
        <f t="shared" si="3"/>
        <v>5273681</v>
      </c>
      <c r="AN24" s="498">
        <f t="shared" si="4"/>
        <v>0</v>
      </c>
    </row>
    <row r="25" spans="1:40" ht="26.25" customHeight="1">
      <c r="A25" s="506"/>
      <c r="B25" s="543" t="s">
        <v>265</v>
      </c>
      <c r="C25" s="543" t="s">
        <v>278</v>
      </c>
      <c r="D25" s="543" t="s">
        <v>278</v>
      </c>
      <c r="E25" s="543" t="s">
        <v>278</v>
      </c>
      <c r="F25" s="543" t="s">
        <v>274</v>
      </c>
      <c r="G25" s="543" t="s">
        <v>267</v>
      </c>
      <c r="H25" s="543" t="s">
        <v>51</v>
      </c>
      <c r="I25" s="543" t="s">
        <v>268</v>
      </c>
      <c r="J25" s="544" t="s">
        <v>290</v>
      </c>
      <c r="K25" s="547">
        <v>1</v>
      </c>
      <c r="L25" s="547"/>
      <c r="M25" s="547">
        <f t="shared" si="1"/>
        <v>1</v>
      </c>
      <c r="N25" s="498">
        <v>0</v>
      </c>
      <c r="O25" s="498">
        <v>0</v>
      </c>
      <c r="P25" s="498">
        <v>0</v>
      </c>
      <c r="Q25" s="498">
        <v>0</v>
      </c>
      <c r="R25" s="510"/>
      <c r="S25" s="498"/>
      <c r="T25" s="498">
        <v>0</v>
      </c>
      <c r="U25" s="498">
        <v>0</v>
      </c>
      <c r="V25" s="501">
        <v>0</v>
      </c>
      <c r="W25" s="501"/>
      <c r="X25" s="498"/>
      <c r="Y25" s="498"/>
      <c r="Z25" s="498">
        <f t="shared" si="2"/>
        <v>0</v>
      </c>
      <c r="AA25" s="498">
        <v>0</v>
      </c>
      <c r="AB25" s="498">
        <v>0</v>
      </c>
      <c r="AC25" s="498">
        <v>0</v>
      </c>
      <c r="AD25" s="498">
        <v>0</v>
      </c>
      <c r="AE25" s="510"/>
      <c r="AF25" s="498"/>
      <c r="AG25" s="498">
        <v>0</v>
      </c>
      <c r="AH25" s="498">
        <v>0</v>
      </c>
      <c r="AI25" s="498">
        <v>0</v>
      </c>
      <c r="AJ25" s="501"/>
      <c r="AK25" s="498"/>
      <c r="AL25" s="498"/>
      <c r="AM25" s="498">
        <f t="shared" si="3"/>
        <v>0</v>
      </c>
      <c r="AN25" s="498">
        <f t="shared" si="4"/>
        <v>1</v>
      </c>
    </row>
    <row r="26" spans="1:40" ht="26.25" customHeight="1">
      <c r="A26" s="506"/>
      <c r="B26" s="543" t="s">
        <v>265</v>
      </c>
      <c r="C26" s="543" t="s">
        <v>278</v>
      </c>
      <c r="D26" s="543" t="s">
        <v>278</v>
      </c>
      <c r="E26" s="543" t="s">
        <v>278</v>
      </c>
      <c r="F26" s="543" t="s">
        <v>274</v>
      </c>
      <c r="G26" s="543" t="s">
        <v>270</v>
      </c>
      <c r="H26" s="543" t="s">
        <v>51</v>
      </c>
      <c r="I26" s="543" t="s">
        <v>268</v>
      </c>
      <c r="J26" s="544" t="s">
        <v>291</v>
      </c>
      <c r="K26" s="547">
        <v>3936172</v>
      </c>
      <c r="L26" s="547"/>
      <c r="M26" s="547">
        <f t="shared" si="1"/>
        <v>3936172</v>
      </c>
      <c r="N26" s="498">
        <v>0</v>
      </c>
      <c r="O26" s="498">
        <v>2000212</v>
      </c>
      <c r="P26" s="498">
        <v>175703.22</v>
      </c>
      <c r="Q26" s="498">
        <v>15911.21</v>
      </c>
      <c r="R26" s="510"/>
      <c r="S26" s="498"/>
      <c r="T26" s="498">
        <v>23594.82</v>
      </c>
      <c r="U26" s="498">
        <v>0</v>
      </c>
      <c r="V26" s="501">
        <v>0</v>
      </c>
      <c r="W26" s="501"/>
      <c r="X26" s="498"/>
      <c r="Y26" s="498"/>
      <c r="Z26" s="498">
        <f t="shared" si="2"/>
        <v>2215421.25</v>
      </c>
      <c r="AA26" s="498">
        <v>0</v>
      </c>
      <c r="AB26" s="498">
        <v>2000212</v>
      </c>
      <c r="AC26" s="498">
        <v>0</v>
      </c>
      <c r="AD26" s="498">
        <v>175703.22</v>
      </c>
      <c r="AE26" s="510">
        <v>15911.21</v>
      </c>
      <c r="AF26" s="498"/>
      <c r="AG26" s="498">
        <v>0</v>
      </c>
      <c r="AH26" s="498">
        <v>23594.82</v>
      </c>
      <c r="AI26" s="498">
        <v>0</v>
      </c>
      <c r="AJ26" s="501"/>
      <c r="AK26" s="498"/>
      <c r="AL26" s="498"/>
      <c r="AM26" s="498">
        <f t="shared" si="3"/>
        <v>2215421.25</v>
      </c>
      <c r="AN26" s="498">
        <f t="shared" si="4"/>
        <v>1720750.75</v>
      </c>
    </row>
    <row r="27" spans="1:40" ht="26.25" customHeight="1">
      <c r="A27" s="506"/>
      <c r="B27" s="543" t="s">
        <v>265</v>
      </c>
      <c r="C27" s="543" t="s">
        <v>278</v>
      </c>
      <c r="D27" s="543" t="s">
        <v>278</v>
      </c>
      <c r="E27" s="543" t="s">
        <v>278</v>
      </c>
      <c r="F27" s="543" t="s">
        <v>275</v>
      </c>
      <c r="G27" s="543" t="s">
        <v>269</v>
      </c>
      <c r="H27" s="543" t="s">
        <v>51</v>
      </c>
      <c r="I27" s="543" t="s">
        <v>268</v>
      </c>
      <c r="J27" s="544" t="s">
        <v>292</v>
      </c>
      <c r="K27" s="547">
        <v>3695031</v>
      </c>
      <c r="L27" s="547"/>
      <c r="M27" s="547">
        <f t="shared" si="1"/>
        <v>3695031</v>
      </c>
      <c r="N27" s="498">
        <v>2978363</v>
      </c>
      <c r="O27" s="498">
        <v>0</v>
      </c>
      <c r="P27" s="498">
        <v>492959</v>
      </c>
      <c r="Q27" s="498">
        <v>0</v>
      </c>
      <c r="R27" s="510"/>
      <c r="S27" s="498"/>
      <c r="T27" s="498">
        <v>0</v>
      </c>
      <c r="U27" s="498">
        <v>0</v>
      </c>
      <c r="V27" s="501">
        <v>0</v>
      </c>
      <c r="W27" s="501"/>
      <c r="X27" s="498"/>
      <c r="Y27" s="498"/>
      <c r="Z27" s="498">
        <f t="shared" si="2"/>
        <v>3471322</v>
      </c>
      <c r="AA27" s="498">
        <v>0</v>
      </c>
      <c r="AB27" s="498">
        <v>2978363</v>
      </c>
      <c r="AC27" s="498">
        <v>0</v>
      </c>
      <c r="AD27" s="498">
        <v>492959</v>
      </c>
      <c r="AE27" s="510"/>
      <c r="AF27" s="498"/>
      <c r="AG27" s="498">
        <v>0</v>
      </c>
      <c r="AH27" s="498">
        <v>0</v>
      </c>
      <c r="AI27" s="498">
        <v>0</v>
      </c>
      <c r="AJ27" s="501"/>
      <c r="AK27" s="498"/>
      <c r="AL27" s="498"/>
      <c r="AM27" s="498">
        <f t="shared" si="3"/>
        <v>3471322</v>
      </c>
      <c r="AN27" s="498">
        <f t="shared" si="4"/>
        <v>223709</v>
      </c>
    </row>
    <row r="28" spans="1:40" ht="26.25" customHeight="1">
      <c r="A28" s="506"/>
      <c r="B28" s="543" t="s">
        <v>265</v>
      </c>
      <c r="C28" s="543" t="s">
        <v>278</v>
      </c>
      <c r="D28" s="543" t="s">
        <v>278</v>
      </c>
      <c r="E28" s="543" t="s">
        <v>278</v>
      </c>
      <c r="F28" s="543" t="s">
        <v>275</v>
      </c>
      <c r="G28" s="543" t="s">
        <v>270</v>
      </c>
      <c r="H28" s="543" t="s">
        <v>51</v>
      </c>
      <c r="I28" s="543" t="s">
        <v>268</v>
      </c>
      <c r="J28" s="544" t="s">
        <v>293</v>
      </c>
      <c r="K28" s="547">
        <v>147384101.5</v>
      </c>
      <c r="L28" s="547"/>
      <c r="M28" s="547">
        <f t="shared" si="1"/>
        <v>147384101.5</v>
      </c>
      <c r="N28" s="498">
        <v>8594777.5</v>
      </c>
      <c r="O28" s="498">
        <v>0</v>
      </c>
      <c r="P28" s="498">
        <v>3304641</v>
      </c>
      <c r="Q28" s="498">
        <v>35999880</v>
      </c>
      <c r="R28" s="510"/>
      <c r="S28" s="498"/>
      <c r="T28" s="498">
        <v>0</v>
      </c>
      <c r="U28" s="498">
        <v>0</v>
      </c>
      <c r="V28" s="501">
        <v>0</v>
      </c>
      <c r="W28" s="501"/>
      <c r="X28" s="498"/>
      <c r="Y28" s="498"/>
      <c r="Z28" s="498">
        <f t="shared" si="2"/>
        <v>47899298.5</v>
      </c>
      <c r="AA28" s="498">
        <v>0</v>
      </c>
      <c r="AB28" s="498">
        <v>8594777.5</v>
      </c>
      <c r="AC28" s="498">
        <v>1220000</v>
      </c>
      <c r="AD28" s="498">
        <v>2084641</v>
      </c>
      <c r="AE28" s="510">
        <v>35999880</v>
      </c>
      <c r="AF28" s="498"/>
      <c r="AG28" s="498">
        <v>0</v>
      </c>
      <c r="AH28" s="498">
        <v>0</v>
      </c>
      <c r="AI28" s="498">
        <v>0</v>
      </c>
      <c r="AJ28" s="501"/>
      <c r="AK28" s="498"/>
      <c r="AL28" s="498"/>
      <c r="AM28" s="498">
        <f t="shared" si="3"/>
        <v>47899298.5</v>
      </c>
      <c r="AN28" s="498">
        <f t="shared" si="4"/>
        <v>99484803</v>
      </c>
    </row>
    <row r="29" spans="1:40" ht="60.75" customHeight="1">
      <c r="A29" s="506"/>
      <c r="B29" s="543" t="s">
        <v>265</v>
      </c>
      <c r="C29" s="543" t="s">
        <v>278</v>
      </c>
      <c r="D29" s="543" t="s">
        <v>278</v>
      </c>
      <c r="E29" s="543" t="s">
        <v>278</v>
      </c>
      <c r="F29" s="543" t="s">
        <v>275</v>
      </c>
      <c r="G29" s="543" t="s">
        <v>270</v>
      </c>
      <c r="H29" s="543" t="s">
        <v>74</v>
      </c>
      <c r="I29" s="543" t="s">
        <v>268</v>
      </c>
      <c r="J29" s="544" t="s">
        <v>293</v>
      </c>
      <c r="K29" s="547">
        <v>2966667</v>
      </c>
      <c r="L29" s="547">
        <v>-485083</v>
      </c>
      <c r="M29" s="547">
        <f t="shared" si="1"/>
        <v>2481584</v>
      </c>
      <c r="N29" s="498">
        <v>2500000</v>
      </c>
      <c r="O29" s="498">
        <v>0</v>
      </c>
      <c r="P29" s="498">
        <v>0</v>
      </c>
      <c r="Q29" s="498">
        <v>0</v>
      </c>
      <c r="R29" s="510"/>
      <c r="S29" s="498"/>
      <c r="T29" s="498">
        <v>0</v>
      </c>
      <c r="U29" s="498">
        <v>0</v>
      </c>
      <c r="V29" s="501">
        <v>0</v>
      </c>
      <c r="W29" s="501"/>
      <c r="X29" s="498"/>
      <c r="Y29" s="498"/>
      <c r="Z29" s="498">
        <f t="shared" si="2"/>
        <v>2500000</v>
      </c>
      <c r="AA29" s="498">
        <v>0</v>
      </c>
      <c r="AB29" s="498">
        <v>2500000</v>
      </c>
      <c r="AC29" s="498">
        <v>0</v>
      </c>
      <c r="AD29" s="498">
        <v>0</v>
      </c>
      <c r="AE29" s="510"/>
      <c r="AF29" s="498"/>
      <c r="AG29" s="498">
        <v>0</v>
      </c>
      <c r="AH29" s="498">
        <v>0</v>
      </c>
      <c r="AI29" s="498">
        <v>0</v>
      </c>
      <c r="AJ29" s="501"/>
      <c r="AK29" s="498"/>
      <c r="AL29" s="498"/>
      <c r="AM29" s="498">
        <f t="shared" si="3"/>
        <v>2500000</v>
      </c>
      <c r="AN29" s="498">
        <f t="shared" si="4"/>
        <v>-18416</v>
      </c>
    </row>
    <row r="30" spans="1:40" ht="83.25" customHeight="1">
      <c r="A30" s="506"/>
      <c r="B30" s="543" t="s">
        <v>265</v>
      </c>
      <c r="C30" s="543" t="s">
        <v>278</v>
      </c>
      <c r="D30" s="543" t="s">
        <v>278</v>
      </c>
      <c r="E30" s="543" t="s">
        <v>278</v>
      </c>
      <c r="F30" s="543" t="s">
        <v>275</v>
      </c>
      <c r="G30" s="543" t="s">
        <v>271</v>
      </c>
      <c r="H30" s="543" t="s">
        <v>51</v>
      </c>
      <c r="I30" s="543" t="s">
        <v>268</v>
      </c>
      <c r="J30" s="544" t="s">
        <v>294</v>
      </c>
      <c r="K30" s="547">
        <v>10818949</v>
      </c>
      <c r="L30" s="547"/>
      <c r="M30" s="547">
        <f t="shared" si="1"/>
        <v>10818949</v>
      </c>
      <c r="N30" s="498">
        <v>3930000</v>
      </c>
      <c r="O30" s="498">
        <v>3951905</v>
      </c>
      <c r="P30" s="498">
        <v>1027044</v>
      </c>
      <c r="Q30" s="498">
        <v>0</v>
      </c>
      <c r="R30" s="510"/>
      <c r="S30" s="498"/>
      <c r="T30" s="498">
        <v>0</v>
      </c>
      <c r="U30" s="498">
        <v>0</v>
      </c>
      <c r="V30" s="501">
        <v>0</v>
      </c>
      <c r="W30" s="501"/>
      <c r="X30" s="498"/>
      <c r="Y30" s="498"/>
      <c r="Z30" s="498">
        <f t="shared" si="2"/>
        <v>8908949</v>
      </c>
      <c r="AA30" s="498">
        <v>0</v>
      </c>
      <c r="AB30" s="498">
        <v>7881905</v>
      </c>
      <c r="AC30" s="498">
        <v>1027044</v>
      </c>
      <c r="AD30" s="498">
        <v>0</v>
      </c>
      <c r="AE30" s="510"/>
      <c r="AF30" s="498"/>
      <c r="AG30" s="498">
        <v>0</v>
      </c>
      <c r="AH30" s="498">
        <v>0</v>
      </c>
      <c r="AI30" s="498">
        <v>0</v>
      </c>
      <c r="AJ30" s="501"/>
      <c r="AK30" s="498"/>
      <c r="AL30" s="498"/>
      <c r="AM30" s="498">
        <f t="shared" si="3"/>
        <v>8908949</v>
      </c>
      <c r="AN30" s="498">
        <f t="shared" si="4"/>
        <v>1910000</v>
      </c>
    </row>
    <row r="31" spans="1:40" ht="42" customHeight="1">
      <c r="A31" s="506"/>
      <c r="B31" s="543" t="s">
        <v>265</v>
      </c>
      <c r="C31" s="543" t="s">
        <v>278</v>
      </c>
      <c r="D31" s="543" t="s">
        <v>278</v>
      </c>
      <c r="E31" s="543" t="s">
        <v>278</v>
      </c>
      <c r="F31" s="543" t="s">
        <v>275</v>
      </c>
      <c r="G31" s="543" t="s">
        <v>272</v>
      </c>
      <c r="H31" s="543" t="s">
        <v>51</v>
      </c>
      <c r="I31" s="543" t="s">
        <v>268</v>
      </c>
      <c r="J31" s="544" t="s">
        <v>295</v>
      </c>
      <c r="K31" s="547">
        <v>55209072.6</v>
      </c>
      <c r="L31" s="547">
        <v>-66667</v>
      </c>
      <c r="M31" s="547">
        <f t="shared" si="1"/>
        <v>55142405.6</v>
      </c>
      <c r="N31" s="498">
        <v>17182216</v>
      </c>
      <c r="O31" s="498">
        <v>24411099.74</v>
      </c>
      <c r="P31" s="498">
        <v>7935693.17</v>
      </c>
      <c r="Q31" s="498">
        <v>0</v>
      </c>
      <c r="R31" s="510"/>
      <c r="S31" s="498"/>
      <c r="T31" s="498">
        <v>0</v>
      </c>
      <c r="U31" s="498">
        <v>0</v>
      </c>
      <c r="V31" s="501">
        <v>0</v>
      </c>
      <c r="W31" s="501"/>
      <c r="X31" s="498"/>
      <c r="Y31" s="498"/>
      <c r="Z31" s="498">
        <f t="shared" si="2"/>
        <v>49529008.91</v>
      </c>
      <c r="AA31" s="498">
        <v>0</v>
      </c>
      <c r="AB31" s="498">
        <v>41593315.74</v>
      </c>
      <c r="AC31" s="498">
        <v>3699294.79</v>
      </c>
      <c r="AD31" s="498">
        <v>4236398.38</v>
      </c>
      <c r="AE31" s="510"/>
      <c r="AF31" s="498"/>
      <c r="AG31" s="498">
        <v>0</v>
      </c>
      <c r="AH31" s="498">
        <v>0</v>
      </c>
      <c r="AI31" s="498">
        <v>0</v>
      </c>
      <c r="AJ31" s="501"/>
      <c r="AK31" s="498"/>
      <c r="AL31" s="498"/>
      <c r="AM31" s="498">
        <f t="shared" si="3"/>
        <v>49529008.910000004</v>
      </c>
      <c r="AN31" s="498">
        <f t="shared" si="4"/>
        <v>5613396.690000005</v>
      </c>
    </row>
    <row r="32" spans="1:40" ht="42" customHeight="1">
      <c r="A32" s="506"/>
      <c r="B32" s="543" t="s">
        <v>265</v>
      </c>
      <c r="C32" s="543" t="s">
        <v>278</v>
      </c>
      <c r="D32" s="543" t="s">
        <v>278</v>
      </c>
      <c r="E32" s="543" t="s">
        <v>278</v>
      </c>
      <c r="F32" s="543" t="s">
        <v>275</v>
      </c>
      <c r="G32" s="543" t="s">
        <v>274</v>
      </c>
      <c r="H32" s="543" t="s">
        <v>51</v>
      </c>
      <c r="I32" s="543" t="s">
        <v>268</v>
      </c>
      <c r="J32" s="544" t="s">
        <v>296</v>
      </c>
      <c r="K32" s="547">
        <v>180584280.78</v>
      </c>
      <c r="L32" s="547"/>
      <c r="M32" s="547">
        <f t="shared" si="1"/>
        <v>180584280.78</v>
      </c>
      <c r="N32" s="498">
        <v>47992700</v>
      </c>
      <c r="O32" s="498">
        <v>4661702</v>
      </c>
      <c r="P32" s="498">
        <v>66303334.06</v>
      </c>
      <c r="Q32" s="498">
        <v>1355276</v>
      </c>
      <c r="R32" s="510">
        <v>1398782.88</v>
      </c>
      <c r="S32" s="498">
        <v>2285197.14</v>
      </c>
      <c r="T32" s="498">
        <v>21564967.95</v>
      </c>
      <c r="U32" s="498">
        <v>1564676.02</v>
      </c>
      <c r="V32" s="501">
        <v>1558157.2</v>
      </c>
      <c r="W32" s="501"/>
      <c r="X32" s="498"/>
      <c r="Y32" s="498"/>
      <c r="Z32" s="498">
        <f t="shared" si="2"/>
        <v>148684793.25</v>
      </c>
      <c r="AA32" s="498">
        <v>0</v>
      </c>
      <c r="AB32" s="498">
        <v>52654402</v>
      </c>
      <c r="AC32" s="498">
        <v>0</v>
      </c>
      <c r="AD32" s="498">
        <v>66303334.06</v>
      </c>
      <c r="AE32" s="510">
        <v>1355276</v>
      </c>
      <c r="AF32" s="498">
        <v>1398782.88</v>
      </c>
      <c r="AG32" s="498">
        <v>2285197.14</v>
      </c>
      <c r="AH32" s="498">
        <v>21564967.95</v>
      </c>
      <c r="AI32" s="498">
        <v>1564676.02</v>
      </c>
      <c r="AJ32" s="501"/>
      <c r="AK32" s="498"/>
      <c r="AL32" s="498"/>
      <c r="AM32" s="498">
        <f t="shared" si="3"/>
        <v>147126636.05</v>
      </c>
      <c r="AN32" s="498">
        <f t="shared" si="4"/>
        <v>31899487.53</v>
      </c>
    </row>
    <row r="33" spans="1:40" ht="43.5" customHeight="1">
      <c r="A33" s="511"/>
      <c r="B33" s="543" t="s">
        <v>265</v>
      </c>
      <c r="C33" s="543" t="s">
        <v>278</v>
      </c>
      <c r="D33" s="543" t="s">
        <v>278</v>
      </c>
      <c r="E33" s="543" t="s">
        <v>278</v>
      </c>
      <c r="F33" s="543" t="s">
        <v>275</v>
      </c>
      <c r="G33" s="543" t="s">
        <v>276</v>
      </c>
      <c r="H33" s="543" t="s">
        <v>51</v>
      </c>
      <c r="I33" s="543" t="s">
        <v>268</v>
      </c>
      <c r="J33" s="544" t="s">
        <v>297</v>
      </c>
      <c r="K33" s="547">
        <v>17210700</v>
      </c>
      <c r="L33" s="547"/>
      <c r="M33" s="547">
        <f t="shared" si="1"/>
        <v>17210700</v>
      </c>
      <c r="N33" s="498">
        <v>0</v>
      </c>
      <c r="O33" s="510">
        <v>15171900</v>
      </c>
      <c r="P33" s="510">
        <v>2038800</v>
      </c>
      <c r="Q33" s="510">
        <v>0</v>
      </c>
      <c r="R33" s="510"/>
      <c r="S33" s="510"/>
      <c r="T33" s="510">
        <v>0</v>
      </c>
      <c r="U33" s="510">
        <v>0</v>
      </c>
      <c r="V33" s="510">
        <v>0</v>
      </c>
      <c r="W33" s="510">
        <f>SUM(W15:W32)</f>
        <v>0</v>
      </c>
      <c r="X33" s="510">
        <f>SUM(X15:X32)</f>
        <v>0</v>
      </c>
      <c r="Y33" s="510">
        <f>SUM(Y15:Y32)</f>
        <v>0</v>
      </c>
      <c r="Z33" s="498">
        <f t="shared" si="2"/>
        <v>17210700</v>
      </c>
      <c r="AA33" s="510">
        <v>0</v>
      </c>
      <c r="AB33" s="510">
        <v>15171900</v>
      </c>
      <c r="AC33" s="510">
        <v>0</v>
      </c>
      <c r="AD33" s="510">
        <v>2038800</v>
      </c>
      <c r="AE33" s="510"/>
      <c r="AF33" s="510"/>
      <c r="AG33" s="510">
        <v>0</v>
      </c>
      <c r="AH33" s="510">
        <v>0</v>
      </c>
      <c r="AI33" s="510">
        <v>0</v>
      </c>
      <c r="AJ33" s="510">
        <f>SUM(AJ15:AJ32)</f>
        <v>0</v>
      </c>
      <c r="AK33" s="510">
        <f>SUM(AK15:AK32)</f>
        <v>0</v>
      </c>
      <c r="AL33" s="510">
        <f>SUM(AL15:AL32)</f>
        <v>0</v>
      </c>
      <c r="AM33" s="498">
        <f t="shared" si="3"/>
        <v>17210700</v>
      </c>
      <c r="AN33" s="498">
        <f t="shared" si="4"/>
        <v>0</v>
      </c>
    </row>
    <row r="34" spans="1:40" ht="42" customHeight="1">
      <c r="A34" s="511"/>
      <c r="B34" s="543" t="s">
        <v>265</v>
      </c>
      <c r="C34" s="543" t="s">
        <v>278</v>
      </c>
      <c r="D34" s="543" t="s">
        <v>278</v>
      </c>
      <c r="E34" s="543" t="s">
        <v>278</v>
      </c>
      <c r="F34" s="543" t="s">
        <v>276</v>
      </c>
      <c r="G34" s="543" t="s">
        <v>271</v>
      </c>
      <c r="H34" s="543" t="s">
        <v>51</v>
      </c>
      <c r="I34" s="543" t="s">
        <v>268</v>
      </c>
      <c r="J34" s="544" t="s">
        <v>298</v>
      </c>
      <c r="K34" s="547">
        <v>1426475</v>
      </c>
      <c r="L34" s="547"/>
      <c r="M34" s="547">
        <f t="shared" si="1"/>
        <v>1426475</v>
      </c>
      <c r="N34" s="498">
        <v>1426475</v>
      </c>
      <c r="O34" s="498">
        <v>0</v>
      </c>
      <c r="P34" s="498">
        <v>0</v>
      </c>
      <c r="Q34" s="498">
        <v>0</v>
      </c>
      <c r="R34" s="498"/>
      <c r="S34" s="498"/>
      <c r="T34" s="498">
        <v>0</v>
      </c>
      <c r="U34" s="498">
        <v>0</v>
      </c>
      <c r="V34" s="498">
        <v>0</v>
      </c>
      <c r="W34" s="498"/>
      <c r="X34" s="498"/>
      <c r="Y34" s="498"/>
      <c r="Z34" s="498">
        <f t="shared" si="2"/>
        <v>1426475</v>
      </c>
      <c r="AA34" s="498">
        <v>0</v>
      </c>
      <c r="AB34" s="498">
        <v>1426475</v>
      </c>
      <c r="AC34" s="498">
        <v>0</v>
      </c>
      <c r="AD34" s="498">
        <v>0</v>
      </c>
      <c r="AE34" s="498"/>
      <c r="AF34" s="498"/>
      <c r="AG34" s="498">
        <v>0</v>
      </c>
      <c r="AH34" s="498">
        <v>0</v>
      </c>
      <c r="AI34" s="498">
        <v>0</v>
      </c>
      <c r="AJ34" s="498"/>
      <c r="AK34" s="498"/>
      <c r="AL34" s="498"/>
      <c r="AM34" s="498">
        <f t="shared" si="3"/>
        <v>1426475</v>
      </c>
      <c r="AN34" s="498">
        <f t="shared" si="4"/>
        <v>0</v>
      </c>
    </row>
    <row r="35" spans="1:40" ht="21" customHeight="1">
      <c r="A35" s="511"/>
      <c r="B35" s="543" t="s">
        <v>265</v>
      </c>
      <c r="C35" s="543" t="s">
        <v>278</v>
      </c>
      <c r="D35" s="543" t="s">
        <v>278</v>
      </c>
      <c r="E35" s="543" t="s">
        <v>278</v>
      </c>
      <c r="F35" s="543" t="s">
        <v>277</v>
      </c>
      <c r="G35" s="543"/>
      <c r="H35" s="543" t="s">
        <v>51</v>
      </c>
      <c r="I35" s="543" t="s">
        <v>268</v>
      </c>
      <c r="J35" s="544" t="s">
        <v>299</v>
      </c>
      <c r="K35" s="547">
        <v>9502898</v>
      </c>
      <c r="L35" s="547">
        <v>-270080</v>
      </c>
      <c r="M35" s="547">
        <f t="shared" si="1"/>
        <v>9232818</v>
      </c>
      <c r="N35" s="498">
        <v>0</v>
      </c>
      <c r="O35" s="498">
        <v>8704948</v>
      </c>
      <c r="P35" s="498">
        <v>370985</v>
      </c>
      <c r="Q35" s="498">
        <v>0</v>
      </c>
      <c r="R35" s="498">
        <f aca="true" t="shared" si="5" ref="R35:AL35">R34</f>
        <v>0</v>
      </c>
      <c r="S35" s="498">
        <f t="shared" si="5"/>
        <v>0</v>
      </c>
      <c r="T35" s="498">
        <v>0</v>
      </c>
      <c r="U35" s="498">
        <v>0</v>
      </c>
      <c r="V35" s="498">
        <v>0</v>
      </c>
      <c r="W35" s="498">
        <f t="shared" si="5"/>
        <v>0</v>
      </c>
      <c r="X35" s="498">
        <f t="shared" si="5"/>
        <v>0</v>
      </c>
      <c r="Y35" s="498">
        <f t="shared" si="5"/>
        <v>0</v>
      </c>
      <c r="Z35" s="498">
        <f t="shared" si="2"/>
        <v>9075933</v>
      </c>
      <c r="AA35" s="498">
        <v>0</v>
      </c>
      <c r="AB35" s="498">
        <v>8704948</v>
      </c>
      <c r="AC35" s="498">
        <v>370985</v>
      </c>
      <c r="AD35" s="498">
        <v>0</v>
      </c>
      <c r="AE35" s="498">
        <f t="shared" si="5"/>
        <v>0</v>
      </c>
      <c r="AF35" s="498">
        <f t="shared" si="5"/>
        <v>0</v>
      </c>
      <c r="AG35" s="498">
        <v>0</v>
      </c>
      <c r="AH35" s="498">
        <v>0</v>
      </c>
      <c r="AI35" s="498">
        <v>0</v>
      </c>
      <c r="AJ35" s="498">
        <f t="shared" si="5"/>
        <v>0</v>
      </c>
      <c r="AK35" s="498">
        <f t="shared" si="5"/>
        <v>0</v>
      </c>
      <c r="AL35" s="498">
        <f t="shared" si="5"/>
        <v>0</v>
      </c>
      <c r="AM35" s="498">
        <f t="shared" si="3"/>
        <v>9075933</v>
      </c>
      <c r="AN35" s="498">
        <f t="shared" si="4"/>
        <v>156885</v>
      </c>
    </row>
    <row r="36" spans="1:40" ht="21.75" customHeight="1">
      <c r="A36" s="513"/>
      <c r="B36" s="548"/>
      <c r="C36" s="548"/>
      <c r="D36" s="548"/>
      <c r="E36" s="548"/>
      <c r="F36" s="548"/>
      <c r="G36" s="548"/>
      <c r="H36" s="548"/>
      <c r="I36" s="548"/>
      <c r="J36" s="549" t="s">
        <v>244</v>
      </c>
      <c r="K36" s="550">
        <f>SUM(K15:K35)</f>
        <v>747923516.6899999</v>
      </c>
      <c r="L36" s="550">
        <f aca="true" t="shared" si="6" ref="L36:AN36">SUM(L15:L35)</f>
        <v>-831830</v>
      </c>
      <c r="M36" s="557">
        <f t="shared" si="6"/>
        <v>747091686.6899999</v>
      </c>
      <c r="N36" s="550">
        <f t="shared" si="6"/>
        <v>94826000.5</v>
      </c>
      <c r="O36" s="550">
        <f t="shared" si="6"/>
        <v>99577351.8</v>
      </c>
      <c r="P36" s="550">
        <f t="shared" si="6"/>
        <v>144910803.45</v>
      </c>
      <c r="Q36" s="550">
        <f t="shared" si="6"/>
        <v>113481038.21</v>
      </c>
      <c r="R36" s="550">
        <f t="shared" si="6"/>
        <v>29414725.88</v>
      </c>
      <c r="S36" s="550">
        <f t="shared" si="6"/>
        <v>9304404.14</v>
      </c>
      <c r="T36" s="550">
        <f t="shared" si="6"/>
        <v>54132652.769999996</v>
      </c>
      <c r="U36" s="550">
        <f t="shared" si="6"/>
        <v>13282716.02</v>
      </c>
      <c r="V36" s="550">
        <f t="shared" si="6"/>
        <v>12513947.2</v>
      </c>
      <c r="W36" s="550">
        <f t="shared" si="6"/>
        <v>0</v>
      </c>
      <c r="X36" s="550">
        <f t="shared" si="6"/>
        <v>0</v>
      </c>
      <c r="Y36" s="550">
        <f t="shared" si="6"/>
        <v>0</v>
      </c>
      <c r="Z36" s="550">
        <f t="shared" si="6"/>
        <v>571443639.97</v>
      </c>
      <c r="AA36" s="550">
        <f t="shared" si="6"/>
        <v>0</v>
      </c>
      <c r="AB36" s="550">
        <f t="shared" si="6"/>
        <v>184187945.3</v>
      </c>
      <c r="AC36" s="550">
        <f t="shared" si="6"/>
        <v>16532730.79</v>
      </c>
      <c r="AD36" s="550">
        <f t="shared" si="6"/>
        <v>138593479.66</v>
      </c>
      <c r="AE36" s="550">
        <f t="shared" si="6"/>
        <v>113481038.21</v>
      </c>
      <c r="AF36" s="550">
        <f t="shared" si="6"/>
        <v>29414725.88</v>
      </c>
      <c r="AG36" s="550">
        <f t="shared" si="6"/>
        <v>9304404.14</v>
      </c>
      <c r="AH36" s="550">
        <f t="shared" si="6"/>
        <v>54132652.769999996</v>
      </c>
      <c r="AI36" s="550">
        <f t="shared" si="6"/>
        <v>13282716.02</v>
      </c>
      <c r="AJ36" s="550">
        <f t="shared" si="6"/>
        <v>0</v>
      </c>
      <c r="AK36" s="550">
        <f t="shared" si="6"/>
        <v>0</v>
      </c>
      <c r="AL36" s="550">
        <f t="shared" si="6"/>
        <v>0</v>
      </c>
      <c r="AM36" s="550">
        <f t="shared" si="6"/>
        <v>558929692.77</v>
      </c>
      <c r="AN36" s="550">
        <f t="shared" si="6"/>
        <v>175648046.72</v>
      </c>
    </row>
    <row r="37" spans="1:40" ht="21.75" customHeight="1">
      <c r="A37" s="513"/>
      <c r="B37" s="552"/>
      <c r="C37" s="553"/>
      <c r="D37" s="553"/>
      <c r="E37" s="553"/>
      <c r="F37" s="553"/>
      <c r="G37" s="553"/>
      <c r="H37" s="553"/>
      <c r="I37" s="553"/>
      <c r="J37" s="554"/>
      <c r="K37" s="555">
        <f>K13+K36</f>
        <v>765313754.6899999</v>
      </c>
      <c r="L37" s="555">
        <f aca="true" t="shared" si="7" ref="L37:AN37">L13+L36</f>
        <v>-831830</v>
      </c>
      <c r="M37" s="555">
        <f t="shared" si="7"/>
        <v>764481924.6899999</v>
      </c>
      <c r="N37" s="555">
        <f t="shared" si="7"/>
        <v>112216238.5</v>
      </c>
      <c r="O37" s="555">
        <f t="shared" si="7"/>
        <v>99577351.8</v>
      </c>
      <c r="P37" s="555">
        <f t="shared" si="7"/>
        <v>144910803.45</v>
      </c>
      <c r="Q37" s="555">
        <f t="shared" si="7"/>
        <v>113481038.21</v>
      </c>
      <c r="R37" s="555">
        <f t="shared" si="7"/>
        <v>29414725.88</v>
      </c>
      <c r="S37" s="555">
        <f t="shared" si="7"/>
        <v>9304404.14</v>
      </c>
      <c r="T37" s="555">
        <f t="shared" si="7"/>
        <v>54132652.769999996</v>
      </c>
      <c r="U37" s="555">
        <f t="shared" si="7"/>
        <v>13282716.02</v>
      </c>
      <c r="V37" s="555">
        <f t="shared" si="7"/>
        <v>12513947.2</v>
      </c>
      <c r="W37" s="555">
        <f t="shared" si="7"/>
        <v>0</v>
      </c>
      <c r="X37" s="555">
        <f t="shared" si="7"/>
        <v>0</v>
      </c>
      <c r="Y37" s="555">
        <f t="shared" si="7"/>
        <v>0</v>
      </c>
      <c r="Z37" s="555">
        <f t="shared" si="7"/>
        <v>588833877.97</v>
      </c>
      <c r="AA37" s="555">
        <f t="shared" si="7"/>
        <v>0</v>
      </c>
      <c r="AB37" s="555">
        <f t="shared" si="7"/>
        <v>201578183.3</v>
      </c>
      <c r="AC37" s="555">
        <f t="shared" si="7"/>
        <v>16532730.79</v>
      </c>
      <c r="AD37" s="555">
        <f t="shared" si="7"/>
        <v>138593479.66</v>
      </c>
      <c r="AE37" s="555">
        <f t="shared" si="7"/>
        <v>113481038.21</v>
      </c>
      <c r="AF37" s="555">
        <f t="shared" si="7"/>
        <v>29414725.88</v>
      </c>
      <c r="AG37" s="555">
        <f t="shared" si="7"/>
        <v>9304404.14</v>
      </c>
      <c r="AH37" s="555">
        <f t="shared" si="7"/>
        <v>54132652.769999996</v>
      </c>
      <c r="AI37" s="555">
        <f t="shared" si="7"/>
        <v>13282716.02</v>
      </c>
      <c r="AJ37" s="555">
        <f t="shared" si="7"/>
        <v>0</v>
      </c>
      <c r="AK37" s="555">
        <f t="shared" si="7"/>
        <v>0</v>
      </c>
      <c r="AL37" s="555">
        <f t="shared" si="7"/>
        <v>0</v>
      </c>
      <c r="AM37" s="555">
        <f t="shared" si="7"/>
        <v>576319930.77</v>
      </c>
      <c r="AN37" s="555">
        <f t="shared" si="7"/>
        <v>175648046.72</v>
      </c>
    </row>
    <row r="38" spans="1:40" ht="13.5">
      <c r="A38" s="511"/>
      <c r="B38" s="489"/>
      <c r="C38" s="490"/>
      <c r="D38" s="490"/>
      <c r="E38" s="490"/>
      <c r="F38" s="490"/>
      <c r="G38" s="490"/>
      <c r="H38" s="490"/>
      <c r="I38" s="490"/>
      <c r="J38" s="491"/>
      <c r="K38" s="514"/>
      <c r="L38" s="514"/>
      <c r="M38" s="514"/>
      <c r="N38" s="514"/>
      <c r="O38" s="514"/>
      <c r="P38" s="514"/>
      <c r="Q38" s="514"/>
      <c r="R38" s="514"/>
      <c r="S38" s="514"/>
      <c r="T38" s="514"/>
      <c r="U38" s="514"/>
      <c r="V38" s="514"/>
      <c r="W38" s="514"/>
      <c r="X38" s="514"/>
      <c r="Y38" s="514"/>
      <c r="Z38" s="498"/>
      <c r="AA38" s="514"/>
      <c r="AB38" s="514"/>
      <c r="AC38" s="514"/>
      <c r="AD38" s="514"/>
      <c r="AE38" s="514"/>
      <c r="AF38" s="514"/>
      <c r="AG38" s="514"/>
      <c r="AH38" s="514"/>
      <c r="AI38" s="514"/>
      <c r="AJ38" s="514"/>
      <c r="AK38" s="514"/>
      <c r="AL38" s="514"/>
      <c r="AM38" s="498"/>
      <c r="AN38" s="515"/>
    </row>
    <row r="39" spans="1:40" ht="13.5">
      <c r="A39" s="513"/>
      <c r="B39" s="516"/>
      <c r="C39" s="516"/>
      <c r="D39" s="516"/>
      <c r="E39" s="516"/>
      <c r="F39" s="516"/>
      <c r="G39" s="516"/>
      <c r="H39" s="516"/>
      <c r="I39" s="516"/>
      <c r="J39" s="508" t="s">
        <v>138</v>
      </c>
      <c r="K39" s="512"/>
      <c r="L39" s="512"/>
      <c r="M39" s="512"/>
      <c r="N39" s="512"/>
      <c r="O39" s="512"/>
      <c r="P39" s="512"/>
      <c r="Q39" s="512"/>
      <c r="R39" s="517"/>
      <c r="S39" s="512"/>
      <c r="T39" s="512"/>
      <c r="U39" s="512"/>
      <c r="V39" s="518"/>
      <c r="W39" s="518"/>
      <c r="X39" s="512"/>
      <c r="Y39" s="512"/>
      <c r="Z39" s="498"/>
      <c r="AA39" s="512"/>
      <c r="AB39" s="512"/>
      <c r="AC39" s="512"/>
      <c r="AD39" s="512"/>
      <c r="AE39" s="517"/>
      <c r="AF39" s="512"/>
      <c r="AG39" s="512"/>
      <c r="AH39" s="512"/>
      <c r="AI39" s="512"/>
      <c r="AJ39" s="518"/>
      <c r="AK39" s="512"/>
      <c r="AL39" s="512"/>
      <c r="AM39" s="498"/>
      <c r="AN39" s="519"/>
    </row>
    <row r="40" spans="1:40" ht="64.5" customHeight="1">
      <c r="A40" s="520"/>
      <c r="B40" s="545" t="s">
        <v>52</v>
      </c>
      <c r="C40" s="545" t="s">
        <v>301</v>
      </c>
      <c r="D40" s="545" t="s">
        <v>302</v>
      </c>
      <c r="E40" s="545" t="s">
        <v>86</v>
      </c>
      <c r="F40" s="509"/>
      <c r="G40" s="509"/>
      <c r="H40" s="545" t="s">
        <v>74</v>
      </c>
      <c r="I40" s="545" t="s">
        <v>268</v>
      </c>
      <c r="J40" s="496" t="s">
        <v>312</v>
      </c>
      <c r="K40" s="546">
        <v>9717148424.4</v>
      </c>
      <c r="L40" s="546">
        <v>-1923214.9</v>
      </c>
      <c r="M40" s="546">
        <f>K40+L40</f>
        <v>9715225209.5</v>
      </c>
      <c r="N40" s="546">
        <v>11428319.5</v>
      </c>
      <c r="O40" s="521">
        <v>148271968</v>
      </c>
      <c r="P40" s="521">
        <v>0</v>
      </c>
      <c r="Q40" s="521">
        <v>4869573002.5</v>
      </c>
      <c r="R40" s="521">
        <v>121128914</v>
      </c>
      <c r="S40" s="521">
        <v>405000000</v>
      </c>
      <c r="T40" s="521">
        <v>3818529770.5</v>
      </c>
      <c r="U40" s="521">
        <v>341293235</v>
      </c>
      <c r="V40" s="521">
        <v>0</v>
      </c>
      <c r="W40" s="521"/>
      <c r="X40" s="521"/>
      <c r="Y40" s="521"/>
      <c r="Z40" s="546">
        <f t="shared" si="2"/>
        <v>9715225209.5</v>
      </c>
      <c r="AA40" s="521">
        <v>0</v>
      </c>
      <c r="AB40" s="521">
        <v>14024940.5</v>
      </c>
      <c r="AC40" s="521">
        <v>145675347</v>
      </c>
      <c r="AD40" s="521">
        <v>0</v>
      </c>
      <c r="AE40" s="521">
        <v>4990701916.5</v>
      </c>
      <c r="AF40" s="521">
        <v>0</v>
      </c>
      <c r="AG40" s="521">
        <v>405000000</v>
      </c>
      <c r="AH40" s="521">
        <v>4159823005.5</v>
      </c>
      <c r="AI40" s="521">
        <v>0</v>
      </c>
      <c r="AJ40" s="521"/>
      <c r="AK40" s="521"/>
      <c r="AL40" s="521"/>
      <c r="AM40" s="546">
        <f t="shared" si="3"/>
        <v>9715225209.5</v>
      </c>
      <c r="AN40" s="551">
        <f aca="true" t="shared" si="8" ref="AN40:AN74">M40-Z40</f>
        <v>0</v>
      </c>
    </row>
    <row r="41" spans="1:40" ht="64.5" customHeight="1">
      <c r="A41" s="520"/>
      <c r="B41" s="545" t="s">
        <v>52</v>
      </c>
      <c r="C41" s="545" t="s">
        <v>301</v>
      </c>
      <c r="D41" s="545" t="s">
        <v>302</v>
      </c>
      <c r="E41" s="545" t="s">
        <v>51</v>
      </c>
      <c r="F41" s="509"/>
      <c r="G41" s="509"/>
      <c r="H41" s="545" t="s">
        <v>51</v>
      </c>
      <c r="I41" s="545" t="s">
        <v>268</v>
      </c>
      <c r="J41" s="496" t="s">
        <v>313</v>
      </c>
      <c r="K41" s="546">
        <v>15591753270</v>
      </c>
      <c r="L41" s="546">
        <v>-8570067</v>
      </c>
      <c r="M41" s="546">
        <f aca="true" t="shared" si="9" ref="M41:M74">K41+L41</f>
        <v>15583183203</v>
      </c>
      <c r="N41" s="546">
        <v>19282000</v>
      </c>
      <c r="O41" s="521">
        <v>315898449</v>
      </c>
      <c r="P41" s="521">
        <v>0</v>
      </c>
      <c r="Q41" s="521">
        <v>8214640818</v>
      </c>
      <c r="R41" s="521">
        <v>2644710157</v>
      </c>
      <c r="S41" s="521">
        <v>0</v>
      </c>
      <c r="T41" s="521">
        <v>2165439370</v>
      </c>
      <c r="U41" s="521">
        <v>0</v>
      </c>
      <c r="V41" s="521">
        <v>1798044911</v>
      </c>
      <c r="W41" s="521"/>
      <c r="X41" s="521"/>
      <c r="Y41" s="521"/>
      <c r="Z41" s="546">
        <f t="shared" si="2"/>
        <v>15158015705</v>
      </c>
      <c r="AA41" s="521">
        <v>0</v>
      </c>
      <c r="AB41" s="521">
        <v>14673000</v>
      </c>
      <c r="AC41" s="521">
        <v>6000000</v>
      </c>
      <c r="AD41" s="521">
        <v>314507449</v>
      </c>
      <c r="AE41" s="521">
        <v>8214640818</v>
      </c>
      <c r="AF41" s="521">
        <v>2644710157</v>
      </c>
      <c r="AG41" s="521">
        <v>0</v>
      </c>
      <c r="AH41" s="521">
        <v>2165439370</v>
      </c>
      <c r="AI41" s="521">
        <v>0</v>
      </c>
      <c r="AJ41" s="521"/>
      <c r="AK41" s="521"/>
      <c r="AL41" s="521"/>
      <c r="AM41" s="546">
        <f t="shared" si="3"/>
        <v>13359970794</v>
      </c>
      <c r="AN41" s="551">
        <f t="shared" si="8"/>
        <v>425167498</v>
      </c>
    </row>
    <row r="42" spans="1:40" ht="64.5" customHeight="1">
      <c r="A42" s="520"/>
      <c r="B42" s="545" t="s">
        <v>52</v>
      </c>
      <c r="C42" s="545" t="s">
        <v>303</v>
      </c>
      <c r="D42" s="545" t="s">
        <v>302</v>
      </c>
      <c r="E42" s="545" t="s">
        <v>96</v>
      </c>
      <c r="F42" s="509"/>
      <c r="G42" s="509"/>
      <c r="H42" s="545" t="s">
        <v>51</v>
      </c>
      <c r="I42" s="545" t="s">
        <v>268</v>
      </c>
      <c r="J42" s="496" t="s">
        <v>314</v>
      </c>
      <c r="K42" s="546">
        <v>4230881041</v>
      </c>
      <c r="L42" s="546">
        <f>-(105600+276667)</f>
        <v>-382267</v>
      </c>
      <c r="M42" s="546">
        <f t="shared" si="9"/>
        <v>4230498774</v>
      </c>
      <c r="N42" s="546">
        <v>4222198774</v>
      </c>
      <c r="O42" s="521">
        <v>8300000</v>
      </c>
      <c r="P42" s="521">
        <v>0</v>
      </c>
      <c r="Q42" s="521">
        <v>0</v>
      </c>
      <c r="R42" s="521">
        <v>0</v>
      </c>
      <c r="S42" s="521">
        <v>0</v>
      </c>
      <c r="T42" s="521">
        <v>0</v>
      </c>
      <c r="U42" s="521">
        <v>0</v>
      </c>
      <c r="V42" s="521">
        <v>0</v>
      </c>
      <c r="W42" s="521"/>
      <c r="X42" s="521"/>
      <c r="Y42" s="521"/>
      <c r="Z42" s="546">
        <f t="shared" si="2"/>
        <v>4230498774</v>
      </c>
      <c r="AA42" s="521">
        <v>0</v>
      </c>
      <c r="AB42" s="521">
        <v>4230498774</v>
      </c>
      <c r="AC42" s="521">
        <v>0</v>
      </c>
      <c r="AD42" s="521">
        <v>0</v>
      </c>
      <c r="AE42" s="521">
        <v>0</v>
      </c>
      <c r="AF42" s="521">
        <v>0</v>
      </c>
      <c r="AG42" s="521">
        <v>0</v>
      </c>
      <c r="AH42" s="521">
        <v>0</v>
      </c>
      <c r="AI42" s="521">
        <v>0</v>
      </c>
      <c r="AJ42" s="521"/>
      <c r="AK42" s="521"/>
      <c r="AL42" s="521"/>
      <c r="AM42" s="546">
        <f t="shared" si="3"/>
        <v>4230498774</v>
      </c>
      <c r="AN42" s="551">
        <f t="shared" si="8"/>
        <v>0</v>
      </c>
    </row>
    <row r="43" spans="1:40" ht="64.5" customHeight="1">
      <c r="A43" s="520"/>
      <c r="B43" s="545" t="s">
        <v>52</v>
      </c>
      <c r="C43" s="545" t="s">
        <v>303</v>
      </c>
      <c r="D43" s="545" t="s">
        <v>302</v>
      </c>
      <c r="E43" s="545" t="s">
        <v>98</v>
      </c>
      <c r="F43" s="509"/>
      <c r="G43" s="509"/>
      <c r="H43" s="545" t="s">
        <v>74</v>
      </c>
      <c r="I43" s="545" t="s">
        <v>300</v>
      </c>
      <c r="J43" s="496" t="s">
        <v>315</v>
      </c>
      <c r="K43" s="546">
        <v>7539156507</v>
      </c>
      <c r="L43" s="546"/>
      <c r="M43" s="546">
        <f t="shared" si="9"/>
        <v>7539156507</v>
      </c>
      <c r="N43" s="546">
        <v>0</v>
      </c>
      <c r="O43" s="521">
        <v>7509346317</v>
      </c>
      <c r="P43" s="521">
        <v>14905095</v>
      </c>
      <c r="Q43" s="521">
        <v>14905095</v>
      </c>
      <c r="R43" s="521">
        <v>0</v>
      </c>
      <c r="S43" s="521">
        <v>0</v>
      </c>
      <c r="T43" s="521">
        <v>0</v>
      </c>
      <c r="U43" s="521">
        <v>0</v>
      </c>
      <c r="V43" s="521">
        <v>0</v>
      </c>
      <c r="W43" s="521"/>
      <c r="X43" s="521"/>
      <c r="Y43" s="521"/>
      <c r="Z43" s="546">
        <f t="shared" si="2"/>
        <v>7539156507</v>
      </c>
      <c r="AA43" s="521">
        <v>0</v>
      </c>
      <c r="AB43" s="521">
        <v>7509346317</v>
      </c>
      <c r="AC43" s="521">
        <v>14905095</v>
      </c>
      <c r="AD43" s="521">
        <v>14905095</v>
      </c>
      <c r="AE43" s="521">
        <v>0</v>
      </c>
      <c r="AF43" s="521">
        <v>0</v>
      </c>
      <c r="AG43" s="521">
        <v>0</v>
      </c>
      <c r="AH43" s="521">
        <v>0</v>
      </c>
      <c r="AI43" s="521">
        <v>0</v>
      </c>
      <c r="AJ43" s="521"/>
      <c r="AK43" s="521"/>
      <c r="AL43" s="521"/>
      <c r="AM43" s="546">
        <f t="shared" si="3"/>
        <v>7539156507</v>
      </c>
      <c r="AN43" s="551">
        <f t="shared" si="8"/>
        <v>0</v>
      </c>
    </row>
    <row r="44" spans="1:40" ht="54.75" customHeight="1">
      <c r="A44" s="520"/>
      <c r="B44" s="545" t="s">
        <v>52</v>
      </c>
      <c r="C44" s="545" t="s">
        <v>303</v>
      </c>
      <c r="D44" s="545" t="s">
        <v>302</v>
      </c>
      <c r="E44" s="545" t="s">
        <v>100</v>
      </c>
      <c r="F44" s="509"/>
      <c r="G44" s="509"/>
      <c r="H44" s="545" t="s">
        <v>74</v>
      </c>
      <c r="I44" s="545" t="s">
        <v>268</v>
      </c>
      <c r="J44" s="496" t="s">
        <v>316</v>
      </c>
      <c r="K44" s="546">
        <v>7594176806</v>
      </c>
      <c r="L44" s="546">
        <v>-105600</v>
      </c>
      <c r="M44" s="546">
        <f t="shared" si="9"/>
        <v>7594071206</v>
      </c>
      <c r="N44" s="546">
        <v>7594071206</v>
      </c>
      <c r="O44" s="521">
        <v>0</v>
      </c>
      <c r="P44" s="521">
        <v>0</v>
      </c>
      <c r="Q44" s="521">
        <v>0</v>
      </c>
      <c r="R44" s="521">
        <v>0</v>
      </c>
      <c r="S44" s="521">
        <v>0</v>
      </c>
      <c r="T44" s="521">
        <v>0</v>
      </c>
      <c r="U44" s="521">
        <v>0</v>
      </c>
      <c r="V44" s="521">
        <v>0</v>
      </c>
      <c r="W44" s="521"/>
      <c r="X44" s="521"/>
      <c r="Y44" s="521"/>
      <c r="Z44" s="546">
        <f t="shared" si="2"/>
        <v>7594071206</v>
      </c>
      <c r="AA44" s="521">
        <v>0</v>
      </c>
      <c r="AB44" s="521">
        <v>7594071206</v>
      </c>
      <c r="AC44" s="521">
        <v>0</v>
      </c>
      <c r="AD44" s="521">
        <v>0</v>
      </c>
      <c r="AE44" s="521">
        <v>0</v>
      </c>
      <c r="AF44" s="521">
        <v>0</v>
      </c>
      <c r="AG44" s="521">
        <v>0</v>
      </c>
      <c r="AH44" s="521">
        <v>0</v>
      </c>
      <c r="AI44" s="521">
        <v>0</v>
      </c>
      <c r="AJ44" s="521"/>
      <c r="AK44" s="521"/>
      <c r="AL44" s="521"/>
      <c r="AM44" s="546">
        <f t="shared" si="3"/>
        <v>7594071206</v>
      </c>
      <c r="AN44" s="551">
        <f t="shared" si="8"/>
        <v>0</v>
      </c>
    </row>
    <row r="45" spans="1:40" ht="54.75" customHeight="1">
      <c r="A45" s="520"/>
      <c r="B45" s="545" t="s">
        <v>52</v>
      </c>
      <c r="C45" s="545" t="s">
        <v>303</v>
      </c>
      <c r="D45" s="545" t="s">
        <v>302</v>
      </c>
      <c r="E45" s="545" t="s">
        <v>86</v>
      </c>
      <c r="F45" s="509"/>
      <c r="G45" s="509"/>
      <c r="H45" s="545" t="s">
        <v>74</v>
      </c>
      <c r="I45" s="545" t="s">
        <v>268</v>
      </c>
      <c r="J45" s="496" t="s">
        <v>317</v>
      </c>
      <c r="K45" s="546">
        <v>48757777409.03</v>
      </c>
      <c r="L45" s="546">
        <f>-(5075835.33+68000)</f>
        <v>-5143835.33</v>
      </c>
      <c r="M45" s="546">
        <f t="shared" si="9"/>
        <v>48752633573.7</v>
      </c>
      <c r="N45" s="546">
        <v>83223321.5</v>
      </c>
      <c r="O45" s="521">
        <v>6129259.5</v>
      </c>
      <c r="P45" s="521">
        <v>4525061.5</v>
      </c>
      <c r="Q45" s="521">
        <v>0</v>
      </c>
      <c r="R45" s="521">
        <v>24288001432.1</v>
      </c>
      <c r="S45" s="521">
        <v>4278876181.1</v>
      </c>
      <c r="T45" s="521">
        <v>439308960.9</v>
      </c>
      <c r="U45" s="521">
        <v>733074369.6</v>
      </c>
      <c r="V45" s="521">
        <v>4741170639.2</v>
      </c>
      <c r="W45" s="521"/>
      <c r="X45" s="521"/>
      <c r="Y45" s="521"/>
      <c r="Z45" s="546">
        <f t="shared" si="2"/>
        <v>34574309225.399994</v>
      </c>
      <c r="AA45" s="521">
        <v>0</v>
      </c>
      <c r="AB45" s="521">
        <v>88527996</v>
      </c>
      <c r="AC45" s="521">
        <v>3347385</v>
      </c>
      <c r="AD45" s="521">
        <v>2002261.5</v>
      </c>
      <c r="AE45" s="521">
        <v>0</v>
      </c>
      <c r="AF45" s="521">
        <v>28566877613.2</v>
      </c>
      <c r="AG45" s="521">
        <v>0</v>
      </c>
      <c r="AH45" s="521">
        <v>1078210337.4</v>
      </c>
      <c r="AI45" s="521">
        <v>514645890</v>
      </c>
      <c r="AJ45" s="521"/>
      <c r="AK45" s="521"/>
      <c r="AL45" s="521"/>
      <c r="AM45" s="546">
        <f t="shared" si="3"/>
        <v>30253611483.100002</v>
      </c>
      <c r="AN45" s="551">
        <f t="shared" si="8"/>
        <v>14178324348.300003</v>
      </c>
    </row>
    <row r="46" spans="1:40" ht="54.75" customHeight="1">
      <c r="A46" s="520"/>
      <c r="B46" s="545" t="s">
        <v>52</v>
      </c>
      <c r="C46" s="545" t="s">
        <v>303</v>
      </c>
      <c r="D46" s="545" t="s">
        <v>302</v>
      </c>
      <c r="E46" s="545" t="s">
        <v>51</v>
      </c>
      <c r="F46" s="509"/>
      <c r="G46" s="509"/>
      <c r="H46" s="545" t="s">
        <v>150</v>
      </c>
      <c r="I46" s="545" t="s">
        <v>268</v>
      </c>
      <c r="J46" s="496" t="s">
        <v>318</v>
      </c>
      <c r="K46" s="546">
        <v>106047004718.65</v>
      </c>
      <c r="L46" s="546">
        <f>-(7874017+28847173)</f>
        <v>-36721190</v>
      </c>
      <c r="M46" s="546">
        <f t="shared" si="9"/>
        <v>106010283528.65</v>
      </c>
      <c r="N46" s="546">
        <v>205987505</v>
      </c>
      <c r="O46" s="521">
        <v>459518880</v>
      </c>
      <c r="P46" s="521">
        <v>89734550</v>
      </c>
      <c r="Q46" s="521">
        <v>217402030</v>
      </c>
      <c r="R46" s="521">
        <v>0</v>
      </c>
      <c r="S46" s="521">
        <v>880612895</v>
      </c>
      <c r="T46" s="521">
        <v>4438076144.78</v>
      </c>
      <c r="U46" s="521">
        <v>24725708523</v>
      </c>
      <c r="V46" s="521">
        <v>3909924566</v>
      </c>
      <c r="W46" s="521"/>
      <c r="X46" s="521"/>
      <c r="Y46" s="521"/>
      <c r="Z46" s="546">
        <f t="shared" si="2"/>
        <v>34926965093.78</v>
      </c>
      <c r="AA46" s="521">
        <v>0</v>
      </c>
      <c r="AB46" s="521">
        <v>390715845</v>
      </c>
      <c r="AC46" s="521">
        <v>357635090</v>
      </c>
      <c r="AD46" s="521">
        <v>21710000</v>
      </c>
      <c r="AE46" s="521">
        <v>202582030</v>
      </c>
      <c r="AF46" s="521">
        <v>736070347</v>
      </c>
      <c r="AG46" s="521">
        <v>1242921556</v>
      </c>
      <c r="AH46" s="521">
        <v>4045159062.78</v>
      </c>
      <c r="AI46" s="521">
        <v>8913077587</v>
      </c>
      <c r="AJ46" s="521"/>
      <c r="AK46" s="521"/>
      <c r="AL46" s="521"/>
      <c r="AM46" s="546">
        <f t="shared" si="3"/>
        <v>15909871517.78</v>
      </c>
      <c r="AN46" s="551">
        <f t="shared" si="8"/>
        <v>71083318434.87</v>
      </c>
    </row>
    <row r="47" spans="1:40" ht="64.5" customHeight="1">
      <c r="A47" s="520"/>
      <c r="B47" s="545" t="s">
        <v>52</v>
      </c>
      <c r="C47" s="545" t="s">
        <v>303</v>
      </c>
      <c r="D47" s="545" t="s">
        <v>302</v>
      </c>
      <c r="E47" s="545" t="s">
        <v>109</v>
      </c>
      <c r="F47" s="509"/>
      <c r="G47" s="509"/>
      <c r="H47" s="545" t="s">
        <v>74</v>
      </c>
      <c r="I47" s="545" t="s">
        <v>268</v>
      </c>
      <c r="J47" s="496" t="s">
        <v>319</v>
      </c>
      <c r="K47" s="546">
        <v>107802160528.47</v>
      </c>
      <c r="L47" s="546">
        <f>-(3985206.67+40817243)</f>
        <v>-44802449.67</v>
      </c>
      <c r="M47" s="546">
        <f t="shared" si="9"/>
        <v>107757358078.8</v>
      </c>
      <c r="N47" s="546">
        <v>78993599</v>
      </c>
      <c r="O47" s="521">
        <v>9781712076</v>
      </c>
      <c r="P47" s="521">
        <v>722543664</v>
      </c>
      <c r="Q47" s="521">
        <v>5529552252.4</v>
      </c>
      <c r="R47" s="521">
        <v>21483595801.4</v>
      </c>
      <c r="S47" s="521">
        <v>130031292.8</v>
      </c>
      <c r="T47" s="521">
        <v>755205072.2</v>
      </c>
      <c r="U47" s="521">
        <v>17189995393.8</v>
      </c>
      <c r="V47" s="521">
        <v>1359641367</v>
      </c>
      <c r="W47" s="521"/>
      <c r="X47" s="521"/>
      <c r="Y47" s="521"/>
      <c r="Z47" s="546">
        <f t="shared" si="2"/>
        <v>57031270518.600006</v>
      </c>
      <c r="AA47" s="521">
        <v>0</v>
      </c>
      <c r="AB47" s="521">
        <v>9859904776</v>
      </c>
      <c r="AC47" s="521">
        <v>1557315</v>
      </c>
      <c r="AD47" s="521">
        <v>721787248</v>
      </c>
      <c r="AE47" s="521">
        <v>4919545909.3</v>
      </c>
      <c r="AF47" s="521">
        <v>21890266696.8</v>
      </c>
      <c r="AG47" s="521">
        <v>693971152</v>
      </c>
      <c r="AH47" s="521">
        <v>16738138933.3</v>
      </c>
      <c r="AI47" s="521">
        <v>846457121.2</v>
      </c>
      <c r="AJ47" s="521"/>
      <c r="AK47" s="521"/>
      <c r="AL47" s="521"/>
      <c r="AM47" s="546">
        <f t="shared" si="3"/>
        <v>55671629151.59999</v>
      </c>
      <c r="AN47" s="551">
        <f t="shared" si="8"/>
        <v>50726087560.2</v>
      </c>
    </row>
    <row r="48" spans="1:40" ht="54.75" customHeight="1">
      <c r="A48" s="520"/>
      <c r="B48" s="545" t="s">
        <v>52</v>
      </c>
      <c r="C48" s="545" t="s">
        <v>304</v>
      </c>
      <c r="D48" s="545" t="s">
        <v>302</v>
      </c>
      <c r="E48" s="545" t="s">
        <v>64</v>
      </c>
      <c r="F48" s="509"/>
      <c r="G48" s="509"/>
      <c r="H48" s="545" t="s">
        <v>109</v>
      </c>
      <c r="I48" s="545" t="s">
        <v>268</v>
      </c>
      <c r="J48" s="496" t="s">
        <v>320</v>
      </c>
      <c r="K48" s="546">
        <v>281319726.6</v>
      </c>
      <c r="L48" s="546">
        <f>-(6570443+304474)</f>
        <v>-6874917</v>
      </c>
      <c r="M48" s="546">
        <f t="shared" si="9"/>
        <v>274444809.6</v>
      </c>
      <c r="N48" s="546">
        <v>23513636</v>
      </c>
      <c r="O48" s="521">
        <v>149457922.29</v>
      </c>
      <c r="P48" s="521">
        <v>0</v>
      </c>
      <c r="Q48" s="521">
        <v>6063636</v>
      </c>
      <c r="R48" s="521">
        <v>0</v>
      </c>
      <c r="S48" s="521">
        <v>0</v>
      </c>
      <c r="T48" s="521">
        <v>95000000</v>
      </c>
      <c r="U48" s="521">
        <v>0</v>
      </c>
      <c r="V48" s="521">
        <v>0</v>
      </c>
      <c r="W48" s="521"/>
      <c r="X48" s="521"/>
      <c r="Y48" s="521"/>
      <c r="Z48" s="546">
        <f t="shared" si="2"/>
        <v>274035194.28999996</v>
      </c>
      <c r="AA48" s="521">
        <v>0</v>
      </c>
      <c r="AB48" s="521">
        <v>171702026.29</v>
      </c>
      <c r="AC48" s="521">
        <v>1269532</v>
      </c>
      <c r="AD48" s="521">
        <v>6063636</v>
      </c>
      <c r="AE48" s="521">
        <v>0</v>
      </c>
      <c r="AF48" s="521">
        <v>0</v>
      </c>
      <c r="AG48" s="521">
        <v>95000000</v>
      </c>
      <c r="AH48" s="521">
        <v>0</v>
      </c>
      <c r="AI48" s="521">
        <v>0</v>
      </c>
      <c r="AJ48" s="521"/>
      <c r="AK48" s="521"/>
      <c r="AL48" s="521"/>
      <c r="AM48" s="546">
        <f t="shared" si="3"/>
        <v>274035194.28999996</v>
      </c>
      <c r="AN48" s="551">
        <f t="shared" si="8"/>
        <v>409615.310000062</v>
      </c>
    </row>
    <row r="49" spans="1:40" ht="54.75" customHeight="1">
      <c r="A49" s="520"/>
      <c r="B49" s="545" t="s">
        <v>52</v>
      </c>
      <c r="C49" s="545" t="s">
        <v>304</v>
      </c>
      <c r="D49" s="545" t="s">
        <v>302</v>
      </c>
      <c r="E49" s="545" t="s">
        <v>98</v>
      </c>
      <c r="F49" s="509"/>
      <c r="G49" s="509"/>
      <c r="H49" s="545" t="s">
        <v>51</v>
      </c>
      <c r="I49" s="545" t="s">
        <v>268</v>
      </c>
      <c r="J49" s="496" t="s">
        <v>321</v>
      </c>
      <c r="K49" s="546">
        <v>131449786</v>
      </c>
      <c r="L49" s="546">
        <v>-0.22</v>
      </c>
      <c r="M49" s="546">
        <f t="shared" si="9"/>
        <v>131449785.78</v>
      </c>
      <c r="N49" s="546">
        <v>0</v>
      </c>
      <c r="O49" s="521">
        <v>131449785.78</v>
      </c>
      <c r="P49" s="521">
        <v>0</v>
      </c>
      <c r="Q49" s="521">
        <v>0</v>
      </c>
      <c r="R49" s="521">
        <v>0</v>
      </c>
      <c r="S49" s="521">
        <v>0</v>
      </c>
      <c r="T49" s="521">
        <v>0</v>
      </c>
      <c r="U49" s="521">
        <v>0</v>
      </c>
      <c r="V49" s="521">
        <v>0</v>
      </c>
      <c r="W49" s="521"/>
      <c r="X49" s="521"/>
      <c r="Y49" s="521"/>
      <c r="Z49" s="546">
        <f t="shared" si="2"/>
        <v>131449785.78</v>
      </c>
      <c r="AA49" s="521">
        <v>0</v>
      </c>
      <c r="AB49" s="521">
        <v>75290280</v>
      </c>
      <c r="AC49" s="521">
        <v>0</v>
      </c>
      <c r="AD49" s="521">
        <v>56159505.78</v>
      </c>
      <c r="AE49" s="521">
        <v>0</v>
      </c>
      <c r="AF49" s="521">
        <v>0</v>
      </c>
      <c r="AG49" s="521">
        <v>0</v>
      </c>
      <c r="AH49" s="521">
        <v>0</v>
      </c>
      <c r="AI49" s="521">
        <v>0</v>
      </c>
      <c r="AJ49" s="521"/>
      <c r="AK49" s="521"/>
      <c r="AL49" s="521"/>
      <c r="AM49" s="546">
        <f t="shared" si="3"/>
        <v>131449785.78</v>
      </c>
      <c r="AN49" s="551">
        <f t="shared" si="8"/>
        <v>0</v>
      </c>
    </row>
    <row r="50" spans="1:40" ht="65.25" customHeight="1">
      <c r="A50" s="520"/>
      <c r="B50" s="545" t="s">
        <v>52</v>
      </c>
      <c r="C50" s="545" t="s">
        <v>305</v>
      </c>
      <c r="D50" s="545" t="s">
        <v>302</v>
      </c>
      <c r="E50" s="545" t="s">
        <v>100</v>
      </c>
      <c r="F50" s="509"/>
      <c r="G50" s="509"/>
      <c r="H50" s="545" t="s">
        <v>109</v>
      </c>
      <c r="I50" s="545" t="s">
        <v>268</v>
      </c>
      <c r="J50" s="496" t="s">
        <v>322</v>
      </c>
      <c r="K50" s="546">
        <v>1454693538.34</v>
      </c>
      <c r="L50" s="546">
        <f>-(26851502+181000)</f>
        <v>-27032502</v>
      </c>
      <c r="M50" s="546">
        <f t="shared" si="9"/>
        <v>1427661036.34</v>
      </c>
      <c r="N50" s="546">
        <v>77404837.33</v>
      </c>
      <c r="O50" s="521">
        <v>9286309</v>
      </c>
      <c r="P50" s="521">
        <v>1674079</v>
      </c>
      <c r="Q50" s="521">
        <v>0</v>
      </c>
      <c r="R50" s="521">
        <v>156094426</v>
      </c>
      <c r="S50" s="521">
        <v>135683270</v>
      </c>
      <c r="T50" s="521">
        <v>101762452</v>
      </c>
      <c r="U50" s="521">
        <v>0</v>
      </c>
      <c r="V50" s="521">
        <v>0</v>
      </c>
      <c r="W50" s="521"/>
      <c r="X50" s="521"/>
      <c r="Y50" s="521"/>
      <c r="Z50" s="546">
        <f t="shared" si="2"/>
        <v>481905373.33</v>
      </c>
      <c r="AA50" s="521">
        <v>0</v>
      </c>
      <c r="AB50" s="521">
        <v>83690104.33</v>
      </c>
      <c r="AC50" s="521">
        <v>4554829</v>
      </c>
      <c r="AD50" s="521">
        <v>120292</v>
      </c>
      <c r="AE50" s="521">
        <v>0</v>
      </c>
      <c r="AF50" s="521">
        <v>156094426</v>
      </c>
      <c r="AG50" s="521">
        <v>237445722</v>
      </c>
      <c r="AH50" s="521">
        <v>0</v>
      </c>
      <c r="AI50" s="521">
        <v>0</v>
      </c>
      <c r="AJ50" s="521"/>
      <c r="AK50" s="521"/>
      <c r="AL50" s="521"/>
      <c r="AM50" s="546">
        <f t="shared" si="3"/>
        <v>481905373.33</v>
      </c>
      <c r="AN50" s="551">
        <f t="shared" si="8"/>
        <v>945755663.01</v>
      </c>
    </row>
    <row r="51" spans="1:40" ht="74.25" customHeight="1">
      <c r="A51" s="520"/>
      <c r="B51" s="545" t="s">
        <v>52</v>
      </c>
      <c r="C51" s="545" t="s">
        <v>305</v>
      </c>
      <c r="D51" s="545" t="s">
        <v>302</v>
      </c>
      <c r="E51" s="545" t="s">
        <v>86</v>
      </c>
      <c r="F51" s="509"/>
      <c r="G51" s="509"/>
      <c r="H51" s="545" t="s">
        <v>109</v>
      </c>
      <c r="I51" s="545" t="s">
        <v>268</v>
      </c>
      <c r="J51" s="496" t="s">
        <v>323</v>
      </c>
      <c r="K51" s="546">
        <v>51166360</v>
      </c>
      <c r="L51" s="546">
        <v>-4872394</v>
      </c>
      <c r="M51" s="546">
        <f t="shared" si="9"/>
        <v>46293966</v>
      </c>
      <c r="N51" s="546">
        <v>4401966</v>
      </c>
      <c r="O51" s="521">
        <v>854649</v>
      </c>
      <c r="P51" s="521">
        <v>2892000</v>
      </c>
      <c r="Q51" s="521">
        <v>0</v>
      </c>
      <c r="R51" s="521">
        <v>0</v>
      </c>
      <c r="S51" s="521">
        <v>0</v>
      </c>
      <c r="T51" s="521">
        <v>0</v>
      </c>
      <c r="U51" s="521">
        <v>0</v>
      </c>
      <c r="V51" s="521">
        <v>0</v>
      </c>
      <c r="W51" s="521"/>
      <c r="X51" s="521"/>
      <c r="Y51" s="521"/>
      <c r="Z51" s="546">
        <f t="shared" si="2"/>
        <v>8148615</v>
      </c>
      <c r="AA51" s="521">
        <v>0</v>
      </c>
      <c r="AB51" s="521">
        <v>4401966</v>
      </c>
      <c r="AC51" s="521">
        <v>854649</v>
      </c>
      <c r="AD51" s="521">
        <v>2892000</v>
      </c>
      <c r="AE51" s="521">
        <v>0</v>
      </c>
      <c r="AF51" s="521">
        <v>0</v>
      </c>
      <c r="AG51" s="521">
        <v>0</v>
      </c>
      <c r="AH51" s="521">
        <v>0</v>
      </c>
      <c r="AI51" s="521">
        <v>0</v>
      </c>
      <c r="AJ51" s="521"/>
      <c r="AK51" s="521"/>
      <c r="AL51" s="521"/>
      <c r="AM51" s="546">
        <f t="shared" si="3"/>
        <v>8148615</v>
      </c>
      <c r="AN51" s="551">
        <f t="shared" si="8"/>
        <v>38145351</v>
      </c>
    </row>
    <row r="52" spans="1:40" ht="54.75" customHeight="1">
      <c r="A52" s="520"/>
      <c r="B52" s="545" t="s">
        <v>52</v>
      </c>
      <c r="C52" s="545" t="s">
        <v>305</v>
      </c>
      <c r="D52" s="545" t="s">
        <v>302</v>
      </c>
      <c r="E52" s="545" t="s">
        <v>66</v>
      </c>
      <c r="F52" s="509"/>
      <c r="G52" s="509"/>
      <c r="H52" s="545" t="s">
        <v>109</v>
      </c>
      <c r="I52" s="545" t="s">
        <v>268</v>
      </c>
      <c r="J52" s="496" t="s">
        <v>324</v>
      </c>
      <c r="K52" s="546">
        <v>643159612</v>
      </c>
      <c r="L52" s="546">
        <v>-30783334</v>
      </c>
      <c r="M52" s="546">
        <f t="shared" si="9"/>
        <v>612376278</v>
      </c>
      <c r="N52" s="546">
        <v>85175057</v>
      </c>
      <c r="O52" s="521">
        <v>3633236</v>
      </c>
      <c r="P52" s="521">
        <v>0</v>
      </c>
      <c r="Q52" s="521">
        <v>491927970</v>
      </c>
      <c r="R52" s="521">
        <v>0</v>
      </c>
      <c r="S52" s="521">
        <v>0</v>
      </c>
      <c r="T52" s="521">
        <v>0</v>
      </c>
      <c r="U52" s="521">
        <v>0</v>
      </c>
      <c r="V52" s="521">
        <v>0</v>
      </c>
      <c r="W52" s="521"/>
      <c r="X52" s="521"/>
      <c r="Y52" s="521"/>
      <c r="Z52" s="546">
        <f t="shared" si="2"/>
        <v>580736263</v>
      </c>
      <c r="AA52" s="521">
        <v>0</v>
      </c>
      <c r="AB52" s="521">
        <v>88808293</v>
      </c>
      <c r="AC52" s="521">
        <v>0</v>
      </c>
      <c r="AD52" s="521">
        <v>0</v>
      </c>
      <c r="AE52" s="521">
        <v>491927970</v>
      </c>
      <c r="AF52" s="521">
        <v>0</v>
      </c>
      <c r="AG52" s="521">
        <v>0</v>
      </c>
      <c r="AH52" s="521">
        <v>0</v>
      </c>
      <c r="AI52" s="521">
        <v>0</v>
      </c>
      <c r="AJ52" s="521"/>
      <c r="AK52" s="521"/>
      <c r="AL52" s="521"/>
      <c r="AM52" s="546">
        <f t="shared" si="3"/>
        <v>580736263</v>
      </c>
      <c r="AN52" s="551">
        <f t="shared" si="8"/>
        <v>31640015</v>
      </c>
    </row>
    <row r="53" spans="1:40" ht="54.75" customHeight="1">
      <c r="A53" s="520"/>
      <c r="B53" s="545" t="s">
        <v>52</v>
      </c>
      <c r="C53" s="545" t="s">
        <v>305</v>
      </c>
      <c r="D53" s="545" t="s">
        <v>302</v>
      </c>
      <c r="E53" s="545" t="s">
        <v>74</v>
      </c>
      <c r="F53" s="509"/>
      <c r="G53" s="509"/>
      <c r="H53" s="545" t="s">
        <v>109</v>
      </c>
      <c r="I53" s="545" t="s">
        <v>268</v>
      </c>
      <c r="J53" s="496" t="s">
        <v>325</v>
      </c>
      <c r="K53" s="546">
        <v>595253879.01</v>
      </c>
      <c r="L53" s="546">
        <v>-80001</v>
      </c>
      <c r="M53" s="546">
        <f t="shared" si="9"/>
        <v>595173878.01</v>
      </c>
      <c r="N53" s="546">
        <v>70928088</v>
      </c>
      <c r="O53" s="521">
        <v>514043310.5</v>
      </c>
      <c r="P53" s="521">
        <v>2202479.5</v>
      </c>
      <c r="Q53" s="521">
        <v>0</v>
      </c>
      <c r="R53" s="521">
        <v>0</v>
      </c>
      <c r="S53" s="521">
        <v>0</v>
      </c>
      <c r="T53" s="521">
        <v>3403508</v>
      </c>
      <c r="U53" s="521">
        <v>0</v>
      </c>
      <c r="V53" s="521">
        <v>0</v>
      </c>
      <c r="W53" s="521"/>
      <c r="X53" s="521"/>
      <c r="Y53" s="521"/>
      <c r="Z53" s="546">
        <f t="shared" si="2"/>
        <v>590577386</v>
      </c>
      <c r="AA53" s="521">
        <v>0</v>
      </c>
      <c r="AB53" s="521">
        <v>584971398.5</v>
      </c>
      <c r="AC53" s="521">
        <v>1334841.5</v>
      </c>
      <c r="AD53" s="521">
        <v>867638</v>
      </c>
      <c r="AE53" s="521">
        <v>0</v>
      </c>
      <c r="AF53" s="521">
        <v>0</v>
      </c>
      <c r="AG53" s="521">
        <v>0</v>
      </c>
      <c r="AH53" s="521">
        <v>3403508</v>
      </c>
      <c r="AI53" s="521">
        <v>0</v>
      </c>
      <c r="AJ53" s="521"/>
      <c r="AK53" s="521"/>
      <c r="AL53" s="521"/>
      <c r="AM53" s="546">
        <f t="shared" si="3"/>
        <v>590577386</v>
      </c>
      <c r="AN53" s="551">
        <f t="shared" si="8"/>
        <v>4596492.00999999</v>
      </c>
    </row>
    <row r="54" spans="1:40" ht="54.75" customHeight="1">
      <c r="A54" s="520"/>
      <c r="B54" s="545" t="s">
        <v>52</v>
      </c>
      <c r="C54" s="545" t="s">
        <v>306</v>
      </c>
      <c r="D54" s="545" t="s">
        <v>302</v>
      </c>
      <c r="E54" s="545" t="s">
        <v>100</v>
      </c>
      <c r="F54" s="509"/>
      <c r="G54" s="509"/>
      <c r="H54" s="545" t="s">
        <v>109</v>
      </c>
      <c r="I54" s="545" t="s">
        <v>268</v>
      </c>
      <c r="J54" s="496" t="s">
        <v>326</v>
      </c>
      <c r="K54" s="546">
        <v>17615172.5</v>
      </c>
      <c r="L54" s="546">
        <v>-121333</v>
      </c>
      <c r="M54" s="546">
        <f t="shared" si="9"/>
        <v>17493839.5</v>
      </c>
      <c r="N54" s="546">
        <v>10178184.5</v>
      </c>
      <c r="O54" s="521">
        <v>7315655</v>
      </c>
      <c r="P54" s="521">
        <v>0</v>
      </c>
      <c r="Q54" s="521">
        <v>0</v>
      </c>
      <c r="R54" s="521">
        <v>0</v>
      </c>
      <c r="S54" s="521">
        <v>0</v>
      </c>
      <c r="T54" s="521">
        <v>0</v>
      </c>
      <c r="U54" s="521">
        <v>0</v>
      </c>
      <c r="V54" s="521">
        <v>0</v>
      </c>
      <c r="W54" s="521"/>
      <c r="X54" s="521"/>
      <c r="Y54" s="521"/>
      <c r="Z54" s="546">
        <f t="shared" si="2"/>
        <v>17493839.5</v>
      </c>
      <c r="AA54" s="521">
        <v>0</v>
      </c>
      <c r="AB54" s="521">
        <v>17493839.5</v>
      </c>
      <c r="AC54" s="521">
        <v>0</v>
      </c>
      <c r="AD54" s="521">
        <v>0</v>
      </c>
      <c r="AE54" s="521">
        <v>0</v>
      </c>
      <c r="AF54" s="521">
        <v>0</v>
      </c>
      <c r="AG54" s="521">
        <v>0</v>
      </c>
      <c r="AH54" s="521">
        <v>0</v>
      </c>
      <c r="AI54" s="521">
        <v>0</v>
      </c>
      <c r="AJ54" s="521"/>
      <c r="AK54" s="521"/>
      <c r="AL54" s="521"/>
      <c r="AM54" s="546">
        <f t="shared" si="3"/>
        <v>17493839.5</v>
      </c>
      <c r="AN54" s="551">
        <f t="shared" si="8"/>
        <v>0</v>
      </c>
    </row>
    <row r="55" spans="1:40" ht="54.75" customHeight="1">
      <c r="A55" s="520"/>
      <c r="B55" s="545" t="s">
        <v>52</v>
      </c>
      <c r="C55" s="545" t="s">
        <v>306</v>
      </c>
      <c r="D55" s="545" t="s">
        <v>302</v>
      </c>
      <c r="E55" s="545" t="s">
        <v>86</v>
      </c>
      <c r="F55" s="509"/>
      <c r="G55" s="509"/>
      <c r="H55" s="545" t="s">
        <v>109</v>
      </c>
      <c r="I55" s="545" t="s">
        <v>268</v>
      </c>
      <c r="J55" s="496" t="s">
        <v>327</v>
      </c>
      <c r="K55" s="546">
        <v>10022352</v>
      </c>
      <c r="L55" s="546">
        <v>-280727</v>
      </c>
      <c r="M55" s="546">
        <f t="shared" si="9"/>
        <v>9741625</v>
      </c>
      <c r="N55" s="546">
        <v>9741625</v>
      </c>
      <c r="O55" s="521">
        <v>0</v>
      </c>
      <c r="P55" s="521">
        <v>0</v>
      </c>
      <c r="Q55" s="521">
        <v>0</v>
      </c>
      <c r="R55" s="521">
        <v>0</v>
      </c>
      <c r="S55" s="521">
        <v>0</v>
      </c>
      <c r="T55" s="521">
        <v>0</v>
      </c>
      <c r="U55" s="521">
        <v>0</v>
      </c>
      <c r="V55" s="521">
        <v>0</v>
      </c>
      <c r="W55" s="521"/>
      <c r="X55" s="521"/>
      <c r="Y55" s="521"/>
      <c r="Z55" s="546">
        <f t="shared" si="2"/>
        <v>9741625</v>
      </c>
      <c r="AA55" s="521">
        <v>0</v>
      </c>
      <c r="AB55" s="521">
        <v>9741625</v>
      </c>
      <c r="AC55" s="521">
        <v>0</v>
      </c>
      <c r="AD55" s="521">
        <v>0</v>
      </c>
      <c r="AE55" s="521">
        <v>0</v>
      </c>
      <c r="AF55" s="521">
        <v>0</v>
      </c>
      <c r="AG55" s="521">
        <v>0</v>
      </c>
      <c r="AH55" s="521">
        <v>0</v>
      </c>
      <c r="AI55" s="521">
        <v>0</v>
      </c>
      <c r="AJ55" s="521"/>
      <c r="AK55" s="521"/>
      <c r="AL55" s="521"/>
      <c r="AM55" s="546">
        <f t="shared" si="3"/>
        <v>9741625</v>
      </c>
      <c r="AN55" s="551">
        <f t="shared" si="8"/>
        <v>0</v>
      </c>
    </row>
    <row r="56" spans="1:40" ht="75" customHeight="1">
      <c r="A56" s="520"/>
      <c r="B56" s="545" t="s">
        <v>52</v>
      </c>
      <c r="C56" s="545" t="s">
        <v>306</v>
      </c>
      <c r="D56" s="545" t="s">
        <v>302</v>
      </c>
      <c r="E56" s="545" t="s">
        <v>51</v>
      </c>
      <c r="F56" s="509"/>
      <c r="G56" s="509"/>
      <c r="H56" s="545" t="s">
        <v>109</v>
      </c>
      <c r="I56" s="545" t="s">
        <v>268</v>
      </c>
      <c r="J56" s="496" t="s">
        <v>328</v>
      </c>
      <c r="K56" s="546">
        <v>708195250</v>
      </c>
      <c r="L56" s="546">
        <v>-35000</v>
      </c>
      <c r="M56" s="546">
        <f t="shared" si="9"/>
        <v>708160250</v>
      </c>
      <c r="N56" s="546">
        <v>67642969</v>
      </c>
      <c r="O56" s="521">
        <v>24980720</v>
      </c>
      <c r="P56" s="521">
        <v>125944186</v>
      </c>
      <c r="Q56" s="521">
        <v>485900319</v>
      </c>
      <c r="R56" s="521">
        <v>0</v>
      </c>
      <c r="S56" s="521">
        <v>0</v>
      </c>
      <c r="T56" s="521">
        <v>0</v>
      </c>
      <c r="U56" s="521">
        <v>0</v>
      </c>
      <c r="V56" s="521">
        <v>0</v>
      </c>
      <c r="W56" s="521"/>
      <c r="X56" s="521"/>
      <c r="Y56" s="521"/>
      <c r="Z56" s="546">
        <f t="shared" si="2"/>
        <v>704468194</v>
      </c>
      <c r="AA56" s="521">
        <v>0</v>
      </c>
      <c r="AB56" s="521">
        <v>91288848</v>
      </c>
      <c r="AC56" s="521">
        <v>4177251</v>
      </c>
      <c r="AD56" s="521">
        <v>609002095</v>
      </c>
      <c r="AE56" s="521">
        <v>0</v>
      </c>
      <c r="AF56" s="521">
        <v>0</v>
      </c>
      <c r="AG56" s="521">
        <v>0</v>
      </c>
      <c r="AH56" s="521">
        <v>0</v>
      </c>
      <c r="AI56" s="521">
        <v>0</v>
      </c>
      <c r="AJ56" s="521"/>
      <c r="AK56" s="521"/>
      <c r="AL56" s="521"/>
      <c r="AM56" s="546">
        <f t="shared" si="3"/>
        <v>704468194</v>
      </c>
      <c r="AN56" s="551">
        <f t="shared" si="8"/>
        <v>3692056</v>
      </c>
    </row>
    <row r="57" spans="1:40" ht="63" customHeight="1">
      <c r="A57" s="520"/>
      <c r="B57" s="545" t="s">
        <v>52</v>
      </c>
      <c r="C57" s="545" t="s">
        <v>307</v>
      </c>
      <c r="D57" s="545" t="s">
        <v>302</v>
      </c>
      <c r="E57" s="545" t="s">
        <v>96</v>
      </c>
      <c r="F57" s="509"/>
      <c r="G57" s="509"/>
      <c r="H57" s="545" t="s">
        <v>109</v>
      </c>
      <c r="I57" s="545" t="s">
        <v>268</v>
      </c>
      <c r="J57" s="496" t="s">
        <v>329</v>
      </c>
      <c r="K57" s="546">
        <v>9993293.5</v>
      </c>
      <c r="L57" s="546">
        <v>-270000</v>
      </c>
      <c r="M57" s="546">
        <f t="shared" si="9"/>
        <v>9723293.5</v>
      </c>
      <c r="N57" s="546">
        <v>7494890.5</v>
      </c>
      <c r="O57" s="521">
        <v>0</v>
      </c>
      <c r="P57" s="521">
        <v>0</v>
      </c>
      <c r="Q57" s="521">
        <v>0</v>
      </c>
      <c r="R57" s="521">
        <v>0</v>
      </c>
      <c r="S57" s="521">
        <v>0</v>
      </c>
      <c r="T57" s="521">
        <v>0</v>
      </c>
      <c r="U57" s="521">
        <v>0</v>
      </c>
      <c r="V57" s="521">
        <v>0</v>
      </c>
      <c r="W57" s="521"/>
      <c r="X57" s="521"/>
      <c r="Y57" s="521"/>
      <c r="Z57" s="546">
        <f t="shared" si="2"/>
        <v>7494890.5</v>
      </c>
      <c r="AA57" s="521">
        <v>0</v>
      </c>
      <c r="AB57" s="521">
        <v>7494890.5</v>
      </c>
      <c r="AC57" s="521">
        <v>0</v>
      </c>
      <c r="AD57" s="521">
        <v>0</v>
      </c>
      <c r="AE57" s="521">
        <v>0</v>
      </c>
      <c r="AF57" s="521">
        <v>0</v>
      </c>
      <c r="AG57" s="521">
        <v>0</v>
      </c>
      <c r="AH57" s="521">
        <v>0</v>
      </c>
      <c r="AI57" s="521">
        <v>0</v>
      </c>
      <c r="AJ57" s="521"/>
      <c r="AK57" s="521"/>
      <c r="AL57" s="521"/>
      <c r="AM57" s="546">
        <f t="shared" si="3"/>
        <v>7494890.5</v>
      </c>
      <c r="AN57" s="551">
        <f t="shared" si="8"/>
        <v>2228403</v>
      </c>
    </row>
    <row r="58" spans="1:40" ht="70.5" customHeight="1">
      <c r="A58" s="520"/>
      <c r="B58" s="545" t="s">
        <v>52</v>
      </c>
      <c r="C58" s="545" t="s">
        <v>307</v>
      </c>
      <c r="D58" s="545" t="s">
        <v>302</v>
      </c>
      <c r="E58" s="545" t="s">
        <v>98</v>
      </c>
      <c r="F58" s="509"/>
      <c r="G58" s="509"/>
      <c r="H58" s="545" t="s">
        <v>109</v>
      </c>
      <c r="I58" s="545" t="s">
        <v>268</v>
      </c>
      <c r="J58" s="496" t="s">
        <v>330</v>
      </c>
      <c r="K58" s="546">
        <v>94360834</v>
      </c>
      <c r="L58" s="546"/>
      <c r="M58" s="546">
        <f t="shared" si="9"/>
        <v>94360834</v>
      </c>
      <c r="N58" s="546">
        <v>87252435</v>
      </c>
      <c r="O58" s="521">
        <v>0</v>
      </c>
      <c r="P58" s="521">
        <v>0</v>
      </c>
      <c r="Q58" s="521">
        <v>0</v>
      </c>
      <c r="R58" s="521">
        <v>0</v>
      </c>
      <c r="S58" s="521">
        <v>0</v>
      </c>
      <c r="T58" s="521">
        <v>0</v>
      </c>
      <c r="U58" s="521">
        <v>0</v>
      </c>
      <c r="V58" s="521">
        <v>0</v>
      </c>
      <c r="W58" s="521"/>
      <c r="X58" s="521"/>
      <c r="Y58" s="521"/>
      <c r="Z58" s="546">
        <f t="shared" si="2"/>
        <v>87252435</v>
      </c>
      <c r="AA58" s="521">
        <v>0</v>
      </c>
      <c r="AB58" s="521">
        <v>87252435</v>
      </c>
      <c r="AC58" s="521">
        <v>0</v>
      </c>
      <c r="AD58" s="521">
        <v>0</v>
      </c>
      <c r="AE58" s="521">
        <v>0</v>
      </c>
      <c r="AF58" s="521">
        <v>0</v>
      </c>
      <c r="AG58" s="521">
        <v>0</v>
      </c>
      <c r="AH58" s="521">
        <v>0</v>
      </c>
      <c r="AI58" s="521">
        <v>0</v>
      </c>
      <c r="AJ58" s="521"/>
      <c r="AK58" s="521"/>
      <c r="AL58" s="521"/>
      <c r="AM58" s="546">
        <f t="shared" si="3"/>
        <v>87252435</v>
      </c>
      <c r="AN58" s="551">
        <f t="shared" si="8"/>
        <v>7108399</v>
      </c>
    </row>
    <row r="59" spans="1:40" ht="76.5" customHeight="1">
      <c r="A59" s="520"/>
      <c r="B59" s="545" t="s">
        <v>52</v>
      </c>
      <c r="C59" s="545" t="s">
        <v>307</v>
      </c>
      <c r="D59" s="545" t="s">
        <v>302</v>
      </c>
      <c r="E59" s="545" t="s">
        <v>98</v>
      </c>
      <c r="F59" s="509"/>
      <c r="G59" s="509"/>
      <c r="H59" s="545" t="s">
        <v>72</v>
      </c>
      <c r="I59" s="545" t="s">
        <v>268</v>
      </c>
      <c r="J59" s="496" t="s">
        <v>330</v>
      </c>
      <c r="K59" s="546">
        <v>235928846.4</v>
      </c>
      <c r="L59" s="546"/>
      <c r="M59" s="546">
        <f t="shared" si="9"/>
        <v>235928846.4</v>
      </c>
      <c r="N59" s="546">
        <v>156689121</v>
      </c>
      <c r="O59" s="521">
        <v>0</v>
      </c>
      <c r="P59" s="521">
        <v>0</v>
      </c>
      <c r="Q59" s="521">
        <v>0</v>
      </c>
      <c r="R59" s="521">
        <v>0</v>
      </c>
      <c r="S59" s="521">
        <v>79239725.4</v>
      </c>
      <c r="T59" s="521">
        <v>0</v>
      </c>
      <c r="U59" s="521">
        <v>0</v>
      </c>
      <c r="V59" s="521">
        <v>0</v>
      </c>
      <c r="W59" s="521"/>
      <c r="X59" s="521"/>
      <c r="Y59" s="521"/>
      <c r="Z59" s="546">
        <f t="shared" si="2"/>
        <v>235928846.4</v>
      </c>
      <c r="AA59" s="521">
        <v>0</v>
      </c>
      <c r="AB59" s="521">
        <v>156689121</v>
      </c>
      <c r="AC59" s="521">
        <v>0</v>
      </c>
      <c r="AD59" s="521">
        <v>0</v>
      </c>
      <c r="AE59" s="521">
        <v>0</v>
      </c>
      <c r="AF59" s="521">
        <v>0</v>
      </c>
      <c r="AG59" s="521">
        <v>79239725.4</v>
      </c>
      <c r="AH59" s="521">
        <v>0</v>
      </c>
      <c r="AI59" s="521">
        <v>0</v>
      </c>
      <c r="AJ59" s="521"/>
      <c r="AK59" s="521"/>
      <c r="AL59" s="521"/>
      <c r="AM59" s="546">
        <f t="shared" si="3"/>
        <v>235928846.4</v>
      </c>
      <c r="AN59" s="551">
        <f t="shared" si="8"/>
        <v>0</v>
      </c>
    </row>
    <row r="60" spans="1:40" ht="71.25" customHeight="1">
      <c r="A60" s="520"/>
      <c r="B60" s="545" t="s">
        <v>52</v>
      </c>
      <c r="C60" s="545" t="s">
        <v>307</v>
      </c>
      <c r="D60" s="545" t="s">
        <v>302</v>
      </c>
      <c r="E60" s="545" t="s">
        <v>100</v>
      </c>
      <c r="F60" s="509"/>
      <c r="G60" s="509"/>
      <c r="H60" s="545" t="s">
        <v>109</v>
      </c>
      <c r="I60" s="545" t="s">
        <v>268</v>
      </c>
      <c r="J60" s="496" t="s">
        <v>331</v>
      </c>
      <c r="K60" s="546">
        <v>971678173</v>
      </c>
      <c r="L60" s="546">
        <v>-2123333</v>
      </c>
      <c r="M60" s="546">
        <f t="shared" si="9"/>
        <v>969554840</v>
      </c>
      <c r="N60" s="546">
        <v>4550000</v>
      </c>
      <c r="O60" s="521">
        <v>965004840</v>
      </c>
      <c r="P60" s="521">
        <v>0</v>
      </c>
      <c r="Q60" s="521">
        <v>0</v>
      </c>
      <c r="R60" s="521">
        <v>0</v>
      </c>
      <c r="S60" s="521">
        <v>0</v>
      </c>
      <c r="T60" s="521">
        <v>0</v>
      </c>
      <c r="U60" s="521">
        <v>0</v>
      </c>
      <c r="V60" s="521">
        <v>0</v>
      </c>
      <c r="W60" s="521"/>
      <c r="X60" s="521"/>
      <c r="Y60" s="521"/>
      <c r="Z60" s="546">
        <f t="shared" si="2"/>
        <v>969554840</v>
      </c>
      <c r="AA60" s="521">
        <v>0</v>
      </c>
      <c r="AB60" s="521">
        <v>487049780</v>
      </c>
      <c r="AC60" s="521">
        <v>482505060</v>
      </c>
      <c r="AD60" s="521">
        <v>0</v>
      </c>
      <c r="AE60" s="521">
        <v>0</v>
      </c>
      <c r="AF60" s="521">
        <v>0</v>
      </c>
      <c r="AG60" s="521">
        <v>0</v>
      </c>
      <c r="AH60" s="521">
        <v>0</v>
      </c>
      <c r="AI60" s="521">
        <v>0</v>
      </c>
      <c r="AJ60" s="521"/>
      <c r="AK60" s="521"/>
      <c r="AL60" s="521"/>
      <c r="AM60" s="546">
        <f t="shared" si="3"/>
        <v>969554840</v>
      </c>
      <c r="AN60" s="551">
        <f t="shared" si="8"/>
        <v>0</v>
      </c>
    </row>
    <row r="61" spans="1:40" ht="77.25" customHeight="1">
      <c r="A61" s="520"/>
      <c r="B61" s="545" t="s">
        <v>52</v>
      </c>
      <c r="C61" s="545" t="s">
        <v>307</v>
      </c>
      <c r="D61" s="545" t="s">
        <v>302</v>
      </c>
      <c r="E61" s="545" t="s">
        <v>86</v>
      </c>
      <c r="F61" s="509"/>
      <c r="G61" s="509"/>
      <c r="H61" s="545" t="s">
        <v>109</v>
      </c>
      <c r="I61" s="545" t="s">
        <v>268</v>
      </c>
      <c r="J61" s="496" t="s">
        <v>332</v>
      </c>
      <c r="K61" s="546">
        <v>35913251</v>
      </c>
      <c r="L61" s="546">
        <v>-1</v>
      </c>
      <c r="M61" s="546">
        <f t="shared" si="9"/>
        <v>35913250</v>
      </c>
      <c r="N61" s="546">
        <v>10913250</v>
      </c>
      <c r="O61" s="521">
        <v>1132255</v>
      </c>
      <c r="P61" s="521">
        <v>0</v>
      </c>
      <c r="Q61" s="521">
        <v>0</v>
      </c>
      <c r="R61" s="521">
        <v>0</v>
      </c>
      <c r="S61" s="521">
        <v>0</v>
      </c>
      <c r="T61" s="521">
        <v>0</v>
      </c>
      <c r="U61" s="521">
        <v>0</v>
      </c>
      <c r="V61" s="521">
        <v>0</v>
      </c>
      <c r="W61" s="521"/>
      <c r="X61" s="521"/>
      <c r="Y61" s="521"/>
      <c r="Z61" s="546">
        <f t="shared" si="2"/>
        <v>12045505</v>
      </c>
      <c r="AA61" s="521">
        <v>0</v>
      </c>
      <c r="AB61" s="521">
        <v>10913250</v>
      </c>
      <c r="AC61" s="521">
        <v>1132255</v>
      </c>
      <c r="AD61" s="521">
        <v>0</v>
      </c>
      <c r="AE61" s="521">
        <v>0</v>
      </c>
      <c r="AF61" s="521">
        <v>0</v>
      </c>
      <c r="AG61" s="521">
        <v>0</v>
      </c>
      <c r="AH61" s="521">
        <v>0</v>
      </c>
      <c r="AI61" s="521">
        <v>0</v>
      </c>
      <c r="AJ61" s="521"/>
      <c r="AK61" s="521"/>
      <c r="AL61" s="521"/>
      <c r="AM61" s="546">
        <f t="shared" si="3"/>
        <v>12045505</v>
      </c>
      <c r="AN61" s="551">
        <f t="shared" si="8"/>
        <v>23867745</v>
      </c>
    </row>
    <row r="62" spans="1:40" ht="65.25" customHeight="1">
      <c r="A62" s="520"/>
      <c r="B62" s="545" t="s">
        <v>52</v>
      </c>
      <c r="C62" s="545" t="s">
        <v>307</v>
      </c>
      <c r="D62" s="545" t="s">
        <v>302</v>
      </c>
      <c r="E62" s="545" t="s">
        <v>51</v>
      </c>
      <c r="F62" s="509"/>
      <c r="G62" s="509"/>
      <c r="H62" s="545" t="s">
        <v>51</v>
      </c>
      <c r="I62" s="545" t="s">
        <v>268</v>
      </c>
      <c r="J62" s="496" t="s">
        <v>333</v>
      </c>
      <c r="K62" s="546">
        <v>179587991.27</v>
      </c>
      <c r="L62" s="546">
        <f>-(17430520+1405796+2646425)</f>
        <v>-21482741</v>
      </c>
      <c r="M62" s="546">
        <f t="shared" si="9"/>
        <v>158105250.27</v>
      </c>
      <c r="N62" s="546">
        <v>95530133</v>
      </c>
      <c r="O62" s="521">
        <v>3000000</v>
      </c>
      <c r="P62" s="521">
        <v>11804800</v>
      </c>
      <c r="Q62" s="521">
        <v>0</v>
      </c>
      <c r="R62" s="521">
        <v>4217394</v>
      </c>
      <c r="S62" s="521">
        <v>0</v>
      </c>
      <c r="T62" s="521">
        <v>0</v>
      </c>
      <c r="U62" s="521">
        <v>0</v>
      </c>
      <c r="V62" s="521">
        <v>0</v>
      </c>
      <c r="W62" s="521"/>
      <c r="X62" s="521"/>
      <c r="Y62" s="521"/>
      <c r="Z62" s="546">
        <f t="shared" si="2"/>
        <v>114552327</v>
      </c>
      <c r="AA62" s="521">
        <v>0</v>
      </c>
      <c r="AB62" s="521">
        <v>98530133</v>
      </c>
      <c r="AC62" s="521">
        <v>0</v>
      </c>
      <c r="AD62" s="521">
        <v>11804800</v>
      </c>
      <c r="AE62" s="521">
        <v>0</v>
      </c>
      <c r="AF62" s="521">
        <v>4217394</v>
      </c>
      <c r="AG62" s="521">
        <v>0</v>
      </c>
      <c r="AH62" s="521">
        <v>0</v>
      </c>
      <c r="AI62" s="521">
        <v>0</v>
      </c>
      <c r="AJ62" s="521"/>
      <c r="AK62" s="521"/>
      <c r="AL62" s="521"/>
      <c r="AM62" s="546">
        <f t="shared" si="3"/>
        <v>114552327</v>
      </c>
      <c r="AN62" s="551">
        <f t="shared" si="8"/>
        <v>43552923.27000001</v>
      </c>
    </row>
    <row r="63" spans="1:40" ht="72" customHeight="1">
      <c r="A63" s="520"/>
      <c r="B63" s="545" t="s">
        <v>52</v>
      </c>
      <c r="C63" s="545" t="s">
        <v>307</v>
      </c>
      <c r="D63" s="545" t="s">
        <v>302</v>
      </c>
      <c r="E63" s="545" t="s">
        <v>109</v>
      </c>
      <c r="F63" s="509"/>
      <c r="G63" s="509"/>
      <c r="H63" s="545" t="s">
        <v>109</v>
      </c>
      <c r="I63" s="545" t="s">
        <v>268</v>
      </c>
      <c r="J63" s="496" t="s">
        <v>334</v>
      </c>
      <c r="K63" s="546">
        <v>10602697.5</v>
      </c>
      <c r="L63" s="546">
        <v>-1042425</v>
      </c>
      <c r="M63" s="546">
        <f t="shared" si="9"/>
        <v>9560272.5</v>
      </c>
      <c r="N63" s="546">
        <v>3818182</v>
      </c>
      <c r="O63" s="521">
        <v>5742090.5</v>
      </c>
      <c r="P63" s="521">
        <v>0</v>
      </c>
      <c r="Q63" s="521">
        <v>0</v>
      </c>
      <c r="R63" s="521">
        <v>0</v>
      </c>
      <c r="S63" s="521">
        <v>0</v>
      </c>
      <c r="T63" s="521">
        <v>0</v>
      </c>
      <c r="U63" s="521">
        <v>0</v>
      </c>
      <c r="V63" s="521">
        <v>0</v>
      </c>
      <c r="W63" s="521"/>
      <c r="X63" s="521"/>
      <c r="Y63" s="521"/>
      <c r="Z63" s="546">
        <f t="shared" si="2"/>
        <v>9560272.5</v>
      </c>
      <c r="AA63" s="521">
        <v>0</v>
      </c>
      <c r="AB63" s="521">
        <v>8981847.5</v>
      </c>
      <c r="AC63" s="521">
        <v>0</v>
      </c>
      <c r="AD63" s="521">
        <v>578425</v>
      </c>
      <c r="AE63" s="521">
        <v>0</v>
      </c>
      <c r="AF63" s="521">
        <v>0</v>
      </c>
      <c r="AG63" s="521">
        <v>0</v>
      </c>
      <c r="AH63" s="521">
        <v>0</v>
      </c>
      <c r="AI63" s="521">
        <v>0</v>
      </c>
      <c r="AJ63" s="521"/>
      <c r="AK63" s="521"/>
      <c r="AL63" s="521"/>
      <c r="AM63" s="546">
        <f t="shared" si="3"/>
        <v>9560272.5</v>
      </c>
      <c r="AN63" s="551">
        <f t="shared" si="8"/>
        <v>0</v>
      </c>
    </row>
    <row r="64" spans="1:40" ht="69.75" customHeight="1">
      <c r="A64" s="520"/>
      <c r="B64" s="545" t="s">
        <v>52</v>
      </c>
      <c r="C64" s="545" t="s">
        <v>307</v>
      </c>
      <c r="D64" s="545" t="s">
        <v>302</v>
      </c>
      <c r="E64" s="545" t="s">
        <v>66</v>
      </c>
      <c r="F64" s="509"/>
      <c r="G64" s="509"/>
      <c r="H64" s="545" t="s">
        <v>109</v>
      </c>
      <c r="I64" s="545" t="s">
        <v>268</v>
      </c>
      <c r="J64" s="496" t="s">
        <v>335</v>
      </c>
      <c r="K64" s="546">
        <v>724668604.33</v>
      </c>
      <c r="L64" s="546">
        <f>-(14431768.33+7500000)</f>
        <v>-21931768.33</v>
      </c>
      <c r="M64" s="546">
        <f t="shared" si="9"/>
        <v>702736836</v>
      </c>
      <c r="N64" s="546">
        <v>145373048</v>
      </c>
      <c r="O64" s="521">
        <v>464161067</v>
      </c>
      <c r="P64" s="521">
        <v>87760365</v>
      </c>
      <c r="Q64" s="521">
        <v>0</v>
      </c>
      <c r="R64" s="521">
        <v>0</v>
      </c>
      <c r="S64" s="521">
        <v>0</v>
      </c>
      <c r="T64" s="521">
        <v>0</v>
      </c>
      <c r="U64" s="521">
        <v>0</v>
      </c>
      <c r="V64" s="521">
        <v>0</v>
      </c>
      <c r="W64" s="521"/>
      <c r="X64" s="521"/>
      <c r="Y64" s="521"/>
      <c r="Z64" s="546">
        <f t="shared" si="2"/>
        <v>697294480</v>
      </c>
      <c r="AA64" s="521">
        <v>0</v>
      </c>
      <c r="AB64" s="521">
        <v>607061712</v>
      </c>
      <c r="AC64" s="521">
        <v>2472403</v>
      </c>
      <c r="AD64" s="521">
        <v>87760365</v>
      </c>
      <c r="AE64" s="521">
        <v>0</v>
      </c>
      <c r="AF64" s="521">
        <v>0</v>
      </c>
      <c r="AG64" s="521">
        <v>0</v>
      </c>
      <c r="AH64" s="521">
        <v>0</v>
      </c>
      <c r="AI64" s="521">
        <v>0</v>
      </c>
      <c r="AJ64" s="521"/>
      <c r="AK64" s="521"/>
      <c r="AL64" s="521"/>
      <c r="AM64" s="546">
        <f t="shared" si="3"/>
        <v>697294480</v>
      </c>
      <c r="AN64" s="551">
        <f t="shared" si="8"/>
        <v>5442356</v>
      </c>
    </row>
    <row r="65" spans="1:40" ht="66.75" customHeight="1">
      <c r="A65" s="520"/>
      <c r="B65" s="545" t="s">
        <v>52</v>
      </c>
      <c r="C65" s="545" t="s">
        <v>307</v>
      </c>
      <c r="D65" s="545" t="s">
        <v>302</v>
      </c>
      <c r="E65" s="545" t="s">
        <v>68</v>
      </c>
      <c r="F65" s="509"/>
      <c r="G65" s="509"/>
      <c r="H65" s="545" t="s">
        <v>109</v>
      </c>
      <c r="I65" s="545" t="s">
        <v>268</v>
      </c>
      <c r="J65" s="496" t="s">
        <v>336</v>
      </c>
      <c r="K65" s="546">
        <v>220844090</v>
      </c>
      <c r="L65" s="546">
        <f>-(1540000+201000)</f>
        <v>-1741000</v>
      </c>
      <c r="M65" s="546">
        <f t="shared" si="9"/>
        <v>219103090</v>
      </c>
      <c r="N65" s="546">
        <v>19880322</v>
      </c>
      <c r="O65" s="521">
        <v>17784736</v>
      </c>
      <c r="P65" s="521">
        <v>181438032</v>
      </c>
      <c r="Q65" s="521">
        <v>0</v>
      </c>
      <c r="R65" s="521">
        <v>0</v>
      </c>
      <c r="S65" s="521">
        <v>0</v>
      </c>
      <c r="T65" s="521">
        <v>0</v>
      </c>
      <c r="U65" s="521">
        <v>0</v>
      </c>
      <c r="V65" s="521">
        <v>0</v>
      </c>
      <c r="W65" s="521"/>
      <c r="X65" s="521"/>
      <c r="Y65" s="521"/>
      <c r="Z65" s="546">
        <f t="shared" si="2"/>
        <v>219103090</v>
      </c>
      <c r="AA65" s="521">
        <v>0</v>
      </c>
      <c r="AB65" s="521">
        <v>30602796</v>
      </c>
      <c r="AC65" s="521">
        <v>7666262</v>
      </c>
      <c r="AD65" s="521">
        <v>180834032</v>
      </c>
      <c r="AE65" s="521">
        <v>0</v>
      </c>
      <c r="AF65" s="521">
        <v>0</v>
      </c>
      <c r="AG65" s="521">
        <v>0</v>
      </c>
      <c r="AH65" s="521">
        <v>0</v>
      </c>
      <c r="AI65" s="521">
        <v>0</v>
      </c>
      <c r="AJ65" s="521"/>
      <c r="AK65" s="521"/>
      <c r="AL65" s="521"/>
      <c r="AM65" s="546">
        <f t="shared" si="3"/>
        <v>219103090</v>
      </c>
      <c r="AN65" s="551">
        <f t="shared" si="8"/>
        <v>0</v>
      </c>
    </row>
    <row r="66" spans="1:40" ht="80.25" customHeight="1">
      <c r="A66" s="520"/>
      <c r="B66" s="545" t="s">
        <v>52</v>
      </c>
      <c r="C66" s="545" t="s">
        <v>307</v>
      </c>
      <c r="D66" s="545" t="s">
        <v>302</v>
      </c>
      <c r="E66" s="545" t="s">
        <v>72</v>
      </c>
      <c r="F66" s="509"/>
      <c r="G66" s="509"/>
      <c r="H66" s="545" t="s">
        <v>109</v>
      </c>
      <c r="I66" s="545" t="s">
        <v>268</v>
      </c>
      <c r="J66" s="496" t="s">
        <v>337</v>
      </c>
      <c r="K66" s="546">
        <v>273456699</v>
      </c>
      <c r="L66" s="546">
        <f>-(29375565+2942575)</f>
        <v>-32318140</v>
      </c>
      <c r="M66" s="546">
        <f t="shared" si="9"/>
        <v>241138559</v>
      </c>
      <c r="N66" s="546">
        <v>49562183</v>
      </c>
      <c r="O66" s="521">
        <v>81284616</v>
      </c>
      <c r="P66" s="521">
        <v>0</v>
      </c>
      <c r="Q66" s="521">
        <v>108379488</v>
      </c>
      <c r="R66" s="521">
        <v>0</v>
      </c>
      <c r="S66" s="521">
        <v>0</v>
      </c>
      <c r="T66" s="521">
        <v>0</v>
      </c>
      <c r="U66" s="521">
        <v>0</v>
      </c>
      <c r="V66" s="521">
        <v>0</v>
      </c>
      <c r="W66" s="521"/>
      <c r="X66" s="521"/>
      <c r="Y66" s="521"/>
      <c r="Z66" s="546">
        <f t="shared" si="2"/>
        <v>239226287</v>
      </c>
      <c r="AA66" s="521">
        <v>0</v>
      </c>
      <c r="AB66" s="521">
        <v>130846799</v>
      </c>
      <c r="AC66" s="521">
        <v>0</v>
      </c>
      <c r="AD66" s="521">
        <v>0</v>
      </c>
      <c r="AE66" s="521">
        <v>108379488</v>
      </c>
      <c r="AF66" s="521">
        <v>0</v>
      </c>
      <c r="AG66" s="521">
        <v>0</v>
      </c>
      <c r="AH66" s="521">
        <v>0</v>
      </c>
      <c r="AI66" s="521">
        <v>0</v>
      </c>
      <c r="AJ66" s="521"/>
      <c r="AK66" s="521"/>
      <c r="AL66" s="521"/>
      <c r="AM66" s="546">
        <f t="shared" si="3"/>
        <v>239226287</v>
      </c>
      <c r="AN66" s="551">
        <f t="shared" si="8"/>
        <v>1912272</v>
      </c>
    </row>
    <row r="67" spans="1:40" ht="54.75" customHeight="1">
      <c r="A67" s="520"/>
      <c r="B67" s="545" t="s">
        <v>52</v>
      </c>
      <c r="C67" s="545" t="s">
        <v>308</v>
      </c>
      <c r="D67" s="545" t="s">
        <v>302</v>
      </c>
      <c r="E67" s="545" t="s">
        <v>72</v>
      </c>
      <c r="F67" s="509"/>
      <c r="G67" s="509"/>
      <c r="H67" s="545" t="s">
        <v>109</v>
      </c>
      <c r="I67" s="545" t="s">
        <v>268</v>
      </c>
      <c r="J67" s="496" t="s">
        <v>338</v>
      </c>
      <c r="K67" s="546">
        <v>64771870.33</v>
      </c>
      <c r="L67" s="546">
        <v>-0.33</v>
      </c>
      <c r="M67" s="546">
        <f t="shared" si="9"/>
        <v>64771870</v>
      </c>
      <c r="N67" s="546">
        <v>64771870</v>
      </c>
      <c r="O67" s="521">
        <v>0</v>
      </c>
      <c r="P67" s="521">
        <v>0</v>
      </c>
      <c r="Q67" s="521">
        <v>0</v>
      </c>
      <c r="R67" s="521">
        <v>0</v>
      </c>
      <c r="S67" s="521">
        <v>0</v>
      </c>
      <c r="T67" s="521">
        <v>0</v>
      </c>
      <c r="U67" s="521">
        <v>0</v>
      </c>
      <c r="V67" s="521">
        <v>0</v>
      </c>
      <c r="W67" s="521"/>
      <c r="X67" s="521"/>
      <c r="Y67" s="521"/>
      <c r="Z67" s="546">
        <f t="shared" si="2"/>
        <v>64771870</v>
      </c>
      <c r="AA67" s="521">
        <v>0</v>
      </c>
      <c r="AB67" s="521">
        <v>64771870</v>
      </c>
      <c r="AC67" s="521">
        <v>0</v>
      </c>
      <c r="AD67" s="521">
        <v>0</v>
      </c>
      <c r="AE67" s="521">
        <v>0</v>
      </c>
      <c r="AF67" s="521">
        <v>0</v>
      </c>
      <c r="AG67" s="521">
        <v>0</v>
      </c>
      <c r="AH67" s="521">
        <v>0</v>
      </c>
      <c r="AI67" s="521">
        <v>0</v>
      </c>
      <c r="AJ67" s="521"/>
      <c r="AK67" s="521"/>
      <c r="AL67" s="521"/>
      <c r="AM67" s="546">
        <f t="shared" si="3"/>
        <v>64771870</v>
      </c>
      <c r="AN67" s="551">
        <f t="shared" si="8"/>
        <v>0</v>
      </c>
    </row>
    <row r="68" spans="1:40" ht="77.25" customHeight="1">
      <c r="A68" s="520"/>
      <c r="B68" s="545" t="s">
        <v>52</v>
      </c>
      <c r="C68" s="545" t="s">
        <v>308</v>
      </c>
      <c r="D68" s="545" t="s">
        <v>302</v>
      </c>
      <c r="E68" s="545" t="s">
        <v>309</v>
      </c>
      <c r="F68" s="509"/>
      <c r="G68" s="509"/>
      <c r="H68" s="545" t="s">
        <v>109</v>
      </c>
      <c r="I68" s="545" t="s">
        <v>268</v>
      </c>
      <c r="J68" s="496" t="s">
        <v>339</v>
      </c>
      <c r="K68" s="546">
        <v>523162626</v>
      </c>
      <c r="L68" s="546">
        <v>-8693526</v>
      </c>
      <c r="M68" s="546">
        <f t="shared" si="9"/>
        <v>514469100</v>
      </c>
      <c r="N68" s="546">
        <v>13140723</v>
      </c>
      <c r="O68" s="521">
        <v>500849804</v>
      </c>
      <c r="P68" s="521">
        <v>0</v>
      </c>
      <c r="Q68" s="521">
        <v>0</v>
      </c>
      <c r="R68" s="521">
        <v>0</v>
      </c>
      <c r="S68" s="521">
        <v>0</v>
      </c>
      <c r="T68" s="521">
        <v>0</v>
      </c>
      <c r="U68" s="521">
        <v>0</v>
      </c>
      <c r="V68" s="521">
        <v>0</v>
      </c>
      <c r="W68" s="521"/>
      <c r="X68" s="521"/>
      <c r="Y68" s="521"/>
      <c r="Z68" s="546">
        <f t="shared" si="2"/>
        <v>513990527</v>
      </c>
      <c r="AA68" s="521">
        <v>0</v>
      </c>
      <c r="AB68" s="521">
        <v>513990527</v>
      </c>
      <c r="AC68" s="521">
        <v>0</v>
      </c>
      <c r="AD68" s="521">
        <v>0</v>
      </c>
      <c r="AE68" s="521">
        <v>0</v>
      </c>
      <c r="AF68" s="521">
        <v>0</v>
      </c>
      <c r="AG68" s="521">
        <v>0</v>
      </c>
      <c r="AH68" s="521">
        <v>0</v>
      </c>
      <c r="AI68" s="521">
        <v>0</v>
      </c>
      <c r="AJ68" s="521"/>
      <c r="AK68" s="521"/>
      <c r="AL68" s="521"/>
      <c r="AM68" s="546">
        <f t="shared" si="3"/>
        <v>513990527</v>
      </c>
      <c r="AN68" s="551">
        <f t="shared" si="8"/>
        <v>478573</v>
      </c>
    </row>
    <row r="69" spans="1:40" ht="84.75" customHeight="1">
      <c r="A69" s="520"/>
      <c r="B69" s="545" t="s">
        <v>52</v>
      </c>
      <c r="C69" s="545" t="s">
        <v>308</v>
      </c>
      <c r="D69" s="545" t="s">
        <v>302</v>
      </c>
      <c r="E69" s="545" t="s">
        <v>76</v>
      </c>
      <c r="F69" s="509"/>
      <c r="G69" s="509"/>
      <c r="H69" s="545" t="s">
        <v>70</v>
      </c>
      <c r="I69" s="545" t="s">
        <v>268</v>
      </c>
      <c r="J69" s="496" t="s">
        <v>340</v>
      </c>
      <c r="K69" s="546">
        <v>4090895184.85</v>
      </c>
      <c r="L69" s="546">
        <f>-(108363584.2+49596500)</f>
        <v>-157960084.2</v>
      </c>
      <c r="M69" s="546">
        <f t="shared" si="9"/>
        <v>3932935100.65</v>
      </c>
      <c r="N69" s="546">
        <v>1862737311.06</v>
      </c>
      <c r="O69" s="521">
        <v>216200801.99</v>
      </c>
      <c r="P69" s="521">
        <v>1851982856.4</v>
      </c>
      <c r="Q69" s="521">
        <v>2014131.2</v>
      </c>
      <c r="R69" s="521">
        <v>0</v>
      </c>
      <c r="S69" s="521">
        <v>0</v>
      </c>
      <c r="T69" s="521">
        <v>0</v>
      </c>
      <c r="U69" s="521">
        <v>0</v>
      </c>
      <c r="V69" s="521">
        <v>0</v>
      </c>
      <c r="W69" s="521"/>
      <c r="X69" s="521"/>
      <c r="Y69" s="521"/>
      <c r="Z69" s="546">
        <f t="shared" si="2"/>
        <v>3932935100.6499996</v>
      </c>
      <c r="AA69" s="521">
        <v>0</v>
      </c>
      <c r="AB69" s="521">
        <v>1984013811.06</v>
      </c>
      <c r="AC69" s="521">
        <v>1577719820.99</v>
      </c>
      <c r="AD69" s="521">
        <v>369187337.4</v>
      </c>
      <c r="AE69" s="521">
        <v>2014131.2</v>
      </c>
      <c r="AF69" s="521">
        <v>0</v>
      </c>
      <c r="AG69" s="521">
        <v>0</v>
      </c>
      <c r="AH69" s="521">
        <v>0</v>
      </c>
      <c r="AI69" s="521">
        <v>0</v>
      </c>
      <c r="AJ69" s="521"/>
      <c r="AK69" s="521"/>
      <c r="AL69" s="521"/>
      <c r="AM69" s="546">
        <f t="shared" si="3"/>
        <v>3932935100.65</v>
      </c>
      <c r="AN69" s="551">
        <f t="shared" si="8"/>
        <v>0</v>
      </c>
    </row>
    <row r="70" spans="1:40" ht="70.5" customHeight="1">
      <c r="A70" s="520"/>
      <c r="B70" s="545" t="s">
        <v>52</v>
      </c>
      <c r="C70" s="545" t="s">
        <v>308</v>
      </c>
      <c r="D70" s="545" t="s">
        <v>302</v>
      </c>
      <c r="E70" s="545" t="s">
        <v>79</v>
      </c>
      <c r="F70" s="509"/>
      <c r="G70" s="509"/>
      <c r="H70" s="545" t="s">
        <v>109</v>
      </c>
      <c r="I70" s="545" t="s">
        <v>268</v>
      </c>
      <c r="J70" s="496" t="s">
        <v>341</v>
      </c>
      <c r="K70" s="546">
        <v>256451248</v>
      </c>
      <c r="L70" s="546"/>
      <c r="M70" s="546">
        <f t="shared" si="9"/>
        <v>256451248</v>
      </c>
      <c r="N70" s="546">
        <v>90866966</v>
      </c>
      <c r="O70" s="521">
        <v>156206031</v>
      </c>
      <c r="P70" s="521">
        <v>8574500</v>
      </c>
      <c r="Q70" s="521">
        <v>0</v>
      </c>
      <c r="R70" s="521">
        <v>0</v>
      </c>
      <c r="S70" s="521">
        <v>0</v>
      </c>
      <c r="T70" s="521">
        <v>0</v>
      </c>
      <c r="U70" s="521">
        <v>0</v>
      </c>
      <c r="V70" s="521">
        <v>0</v>
      </c>
      <c r="W70" s="521"/>
      <c r="X70" s="521"/>
      <c r="Y70" s="521"/>
      <c r="Z70" s="546">
        <f t="shared" si="2"/>
        <v>255647497</v>
      </c>
      <c r="AA70" s="521">
        <v>0</v>
      </c>
      <c r="AB70" s="521">
        <v>247072997</v>
      </c>
      <c r="AC70" s="521">
        <v>0</v>
      </c>
      <c r="AD70" s="521">
        <v>8574500</v>
      </c>
      <c r="AE70" s="521">
        <v>0</v>
      </c>
      <c r="AF70" s="521">
        <v>0</v>
      </c>
      <c r="AG70" s="521">
        <v>0</v>
      </c>
      <c r="AH70" s="521">
        <v>0</v>
      </c>
      <c r="AI70" s="521">
        <v>0</v>
      </c>
      <c r="AJ70" s="521"/>
      <c r="AK70" s="521"/>
      <c r="AL70" s="521"/>
      <c r="AM70" s="546">
        <f t="shared" si="3"/>
        <v>255647497</v>
      </c>
      <c r="AN70" s="551">
        <f t="shared" si="8"/>
        <v>803751</v>
      </c>
    </row>
    <row r="71" spans="1:40" ht="54.75" customHeight="1">
      <c r="A71" s="520"/>
      <c r="B71" s="545" t="s">
        <v>52</v>
      </c>
      <c r="C71" s="545" t="s">
        <v>308</v>
      </c>
      <c r="D71" s="545" t="s">
        <v>302</v>
      </c>
      <c r="E71" s="545" t="s">
        <v>181</v>
      </c>
      <c r="F71" s="509"/>
      <c r="G71" s="509"/>
      <c r="H71" s="545" t="s">
        <v>109</v>
      </c>
      <c r="I71" s="545" t="s">
        <v>268</v>
      </c>
      <c r="J71" s="496" t="s">
        <v>342</v>
      </c>
      <c r="K71" s="546">
        <v>189946183.68</v>
      </c>
      <c r="L71" s="546">
        <v>-17763387.27</v>
      </c>
      <c r="M71" s="546">
        <f t="shared" si="9"/>
        <v>172182796.41</v>
      </c>
      <c r="N71" s="546">
        <v>68507392.5</v>
      </c>
      <c r="O71" s="521">
        <v>37745666.73</v>
      </c>
      <c r="P71" s="521">
        <v>0</v>
      </c>
      <c r="Q71" s="521">
        <v>0</v>
      </c>
      <c r="R71" s="521">
        <v>0</v>
      </c>
      <c r="S71" s="521">
        <v>0</v>
      </c>
      <c r="T71" s="521">
        <v>0</v>
      </c>
      <c r="U71" s="521">
        <v>0</v>
      </c>
      <c r="V71" s="521">
        <v>0</v>
      </c>
      <c r="W71" s="521"/>
      <c r="X71" s="521"/>
      <c r="Y71" s="521"/>
      <c r="Z71" s="546">
        <f t="shared" si="2"/>
        <v>106253059.22999999</v>
      </c>
      <c r="AA71" s="521">
        <v>0</v>
      </c>
      <c r="AB71" s="521">
        <v>106253059.23</v>
      </c>
      <c r="AC71" s="521">
        <v>0</v>
      </c>
      <c r="AD71" s="521">
        <v>0</v>
      </c>
      <c r="AE71" s="521">
        <v>0</v>
      </c>
      <c r="AF71" s="521">
        <v>0</v>
      </c>
      <c r="AG71" s="521">
        <v>0</v>
      </c>
      <c r="AH71" s="521">
        <v>0</v>
      </c>
      <c r="AI71" s="521">
        <v>0</v>
      </c>
      <c r="AJ71" s="521"/>
      <c r="AK71" s="521"/>
      <c r="AL71" s="521"/>
      <c r="AM71" s="546">
        <f t="shared" si="3"/>
        <v>106253059.23</v>
      </c>
      <c r="AN71" s="551">
        <f t="shared" si="8"/>
        <v>65929737.18000001</v>
      </c>
    </row>
    <row r="72" spans="1:40" ht="68.25" customHeight="1">
      <c r="A72" s="520"/>
      <c r="B72" s="545" t="s">
        <v>52</v>
      </c>
      <c r="C72" s="545" t="s">
        <v>308</v>
      </c>
      <c r="D72" s="545" t="s">
        <v>302</v>
      </c>
      <c r="E72" s="545" t="s">
        <v>310</v>
      </c>
      <c r="F72" s="509"/>
      <c r="G72" s="509"/>
      <c r="H72" s="545" t="s">
        <v>109</v>
      </c>
      <c r="I72" s="545" t="s">
        <v>268</v>
      </c>
      <c r="J72" s="496" t="s">
        <v>343</v>
      </c>
      <c r="K72" s="546">
        <v>394464999.15</v>
      </c>
      <c r="L72" s="546">
        <v>-12176201.79</v>
      </c>
      <c r="M72" s="546">
        <f t="shared" si="9"/>
        <v>382288797.35999995</v>
      </c>
      <c r="N72" s="546">
        <v>17287845</v>
      </c>
      <c r="O72" s="521">
        <v>64066167.4</v>
      </c>
      <c r="P72" s="521">
        <v>-61892834.4</v>
      </c>
      <c r="Q72" s="521">
        <v>59547998.42</v>
      </c>
      <c r="R72" s="521">
        <v>93122358.6</v>
      </c>
      <c r="S72" s="521">
        <v>36585000</v>
      </c>
      <c r="T72" s="521">
        <v>11000000</v>
      </c>
      <c r="U72" s="521">
        <v>0</v>
      </c>
      <c r="V72" s="521">
        <v>0</v>
      </c>
      <c r="W72" s="521"/>
      <c r="X72" s="521"/>
      <c r="Y72" s="521"/>
      <c r="Z72" s="546">
        <f t="shared" si="2"/>
        <v>219716535.02</v>
      </c>
      <c r="AA72" s="521">
        <v>0</v>
      </c>
      <c r="AB72" s="521">
        <v>17287845</v>
      </c>
      <c r="AC72" s="521">
        <v>0</v>
      </c>
      <c r="AD72" s="521">
        <v>2173333</v>
      </c>
      <c r="AE72" s="521">
        <v>59547998.42</v>
      </c>
      <c r="AF72" s="521">
        <v>93122358.6</v>
      </c>
      <c r="AG72" s="521">
        <v>36585000</v>
      </c>
      <c r="AH72" s="521">
        <v>11000000</v>
      </c>
      <c r="AI72" s="521">
        <v>0</v>
      </c>
      <c r="AJ72" s="521"/>
      <c r="AK72" s="521"/>
      <c r="AL72" s="521"/>
      <c r="AM72" s="546">
        <f t="shared" si="3"/>
        <v>219716535.01999998</v>
      </c>
      <c r="AN72" s="551">
        <f t="shared" si="8"/>
        <v>162572262.33999994</v>
      </c>
    </row>
    <row r="73" spans="1:40" ht="54.75" customHeight="1">
      <c r="A73" s="520"/>
      <c r="B73" s="545" t="s">
        <v>52</v>
      </c>
      <c r="C73" s="545" t="s">
        <v>308</v>
      </c>
      <c r="D73" s="545" t="s">
        <v>302</v>
      </c>
      <c r="E73" s="545" t="s">
        <v>311</v>
      </c>
      <c r="F73" s="509"/>
      <c r="G73" s="509"/>
      <c r="H73" s="545" t="s">
        <v>109</v>
      </c>
      <c r="I73" s="545" t="s">
        <v>268</v>
      </c>
      <c r="J73" s="496" t="s">
        <v>344</v>
      </c>
      <c r="K73" s="546">
        <v>1316030344.5</v>
      </c>
      <c r="L73" s="546">
        <v>-4807272</v>
      </c>
      <c r="M73" s="546">
        <f t="shared" si="9"/>
        <v>1311223072.5</v>
      </c>
      <c r="N73" s="546">
        <v>10918181.5</v>
      </c>
      <c r="O73" s="521">
        <v>224889964</v>
      </c>
      <c r="P73" s="521">
        <v>0</v>
      </c>
      <c r="Q73" s="521">
        <v>0</v>
      </c>
      <c r="R73" s="521">
        <v>0</v>
      </c>
      <c r="S73" s="521">
        <v>224889963</v>
      </c>
      <c r="T73" s="521">
        <v>0</v>
      </c>
      <c r="U73" s="521">
        <v>576280531</v>
      </c>
      <c r="V73" s="521">
        <v>0</v>
      </c>
      <c r="W73" s="521"/>
      <c r="X73" s="521"/>
      <c r="Y73" s="521"/>
      <c r="Z73" s="546">
        <f t="shared" si="2"/>
        <v>1036978639.5</v>
      </c>
      <c r="AA73" s="521">
        <v>0</v>
      </c>
      <c r="AB73" s="521">
        <v>10918181.5</v>
      </c>
      <c r="AC73" s="521">
        <v>224889964</v>
      </c>
      <c r="AD73" s="521">
        <v>0</v>
      </c>
      <c r="AE73" s="521">
        <v>0</v>
      </c>
      <c r="AF73" s="521">
        <v>224889963</v>
      </c>
      <c r="AG73" s="521">
        <v>0</v>
      </c>
      <c r="AH73" s="521">
        <v>0</v>
      </c>
      <c r="AI73" s="521">
        <v>576280531</v>
      </c>
      <c r="AJ73" s="521"/>
      <c r="AK73" s="521"/>
      <c r="AL73" s="521"/>
      <c r="AM73" s="546">
        <f t="shared" si="3"/>
        <v>1036978639.5</v>
      </c>
      <c r="AN73" s="551">
        <f t="shared" si="8"/>
        <v>274244433</v>
      </c>
    </row>
    <row r="74" spans="1:40" ht="76.5" customHeight="1">
      <c r="A74" s="520"/>
      <c r="B74" s="545" t="s">
        <v>52</v>
      </c>
      <c r="C74" s="545" t="s">
        <v>308</v>
      </c>
      <c r="D74" s="545" t="s">
        <v>302</v>
      </c>
      <c r="E74" s="545" t="s">
        <v>345</v>
      </c>
      <c r="F74" s="509"/>
      <c r="G74" s="509"/>
      <c r="H74" s="545" t="s">
        <v>109</v>
      </c>
      <c r="I74" s="545" t="s">
        <v>268</v>
      </c>
      <c r="J74" s="496" t="s">
        <v>389</v>
      </c>
      <c r="K74" s="546">
        <v>1113350363.01</v>
      </c>
      <c r="L74" s="546">
        <v>-1.15</v>
      </c>
      <c r="M74" s="546">
        <f t="shared" si="9"/>
        <v>1113350361.86</v>
      </c>
      <c r="N74" s="546">
        <v>0</v>
      </c>
      <c r="O74" s="521">
        <v>391320438.36</v>
      </c>
      <c r="P74" s="521">
        <v>616420000</v>
      </c>
      <c r="Q74" s="521">
        <v>105584848.5</v>
      </c>
      <c r="R74" s="521">
        <v>0</v>
      </c>
      <c r="S74" s="521">
        <v>0</v>
      </c>
      <c r="T74" s="521">
        <v>0</v>
      </c>
      <c r="U74" s="521">
        <v>0</v>
      </c>
      <c r="V74" s="521">
        <v>0</v>
      </c>
      <c r="W74" s="521"/>
      <c r="X74" s="521"/>
      <c r="Y74" s="521"/>
      <c r="Z74" s="546">
        <f t="shared" si="2"/>
        <v>1113325286.8600001</v>
      </c>
      <c r="AA74" s="521">
        <v>0</v>
      </c>
      <c r="AB74" s="521">
        <v>391320438.36</v>
      </c>
      <c r="AC74" s="521">
        <v>0</v>
      </c>
      <c r="AD74" s="521">
        <v>616420000</v>
      </c>
      <c r="AE74" s="521">
        <v>105584848.5</v>
      </c>
      <c r="AF74" s="521">
        <v>0</v>
      </c>
      <c r="AG74" s="521">
        <v>0</v>
      </c>
      <c r="AH74" s="521">
        <v>0</v>
      </c>
      <c r="AI74" s="521">
        <v>0</v>
      </c>
      <c r="AJ74" s="521"/>
      <c r="AK74" s="521"/>
      <c r="AL74" s="521"/>
      <c r="AM74" s="546">
        <f t="shared" si="3"/>
        <v>1113325286.8600001</v>
      </c>
      <c r="AN74" s="551">
        <f t="shared" si="8"/>
        <v>25074.99999976158</v>
      </c>
    </row>
    <row r="75" spans="1:40" ht="27" customHeight="1">
      <c r="A75" s="513"/>
      <c r="B75" s="522"/>
      <c r="C75" s="522"/>
      <c r="D75" s="522"/>
      <c r="E75" s="522"/>
      <c r="F75" s="523"/>
      <c r="G75" s="523"/>
      <c r="H75" s="522"/>
      <c r="I75" s="522"/>
      <c r="J75" s="504" t="s">
        <v>226</v>
      </c>
      <c r="K75" s="312">
        <f>SUM(K40:K74)</f>
        <v>321879041680.5201</v>
      </c>
      <c r="L75" s="312">
        <f aca="true" t="shared" si="10" ref="L75:AN75">SUM(L40:L74)</f>
        <v>-450038713.19</v>
      </c>
      <c r="M75" s="556">
        <f t="shared" si="10"/>
        <v>321429002967.33</v>
      </c>
      <c r="N75" s="556">
        <f t="shared" si="10"/>
        <v>15273464941.39</v>
      </c>
      <c r="O75" s="556">
        <f t="shared" si="10"/>
        <v>22199587015.050003</v>
      </c>
      <c r="P75" s="556">
        <f t="shared" si="10"/>
        <v>3660508834</v>
      </c>
      <c r="Q75" s="556">
        <f t="shared" si="10"/>
        <v>20105491589.02</v>
      </c>
      <c r="R75" s="556">
        <f t="shared" si="10"/>
        <v>48790870483.1</v>
      </c>
      <c r="S75" s="556">
        <f t="shared" si="10"/>
        <v>6170918327.3</v>
      </c>
      <c r="T75" s="556">
        <f t="shared" si="10"/>
        <v>11827725278.380001</v>
      </c>
      <c r="U75" s="556">
        <f t="shared" si="10"/>
        <v>43566352052.399994</v>
      </c>
      <c r="V75" s="556">
        <f t="shared" si="10"/>
        <v>11808781483.2</v>
      </c>
      <c r="W75" s="312">
        <f t="shared" si="10"/>
        <v>0</v>
      </c>
      <c r="X75" s="312">
        <f t="shared" si="10"/>
        <v>0</v>
      </c>
      <c r="Y75" s="312">
        <f t="shared" si="10"/>
        <v>0</v>
      </c>
      <c r="Z75" s="312">
        <f t="shared" si="10"/>
        <v>183403700003.83997</v>
      </c>
      <c r="AA75" s="312">
        <f t="shared" si="10"/>
        <v>0</v>
      </c>
      <c r="AB75" s="312">
        <f t="shared" si="10"/>
        <v>35790202728.270004</v>
      </c>
      <c r="AC75" s="312">
        <f t="shared" si="10"/>
        <v>2837697099.49</v>
      </c>
      <c r="AD75" s="312">
        <f t="shared" si="10"/>
        <v>3027350012.68</v>
      </c>
      <c r="AE75" s="312">
        <f t="shared" si="10"/>
        <v>19094925109.92</v>
      </c>
      <c r="AF75" s="312">
        <f t="shared" si="10"/>
        <v>54316248955.6</v>
      </c>
      <c r="AG75" s="312">
        <f t="shared" si="10"/>
        <v>2790163155.4</v>
      </c>
      <c r="AH75" s="312">
        <f t="shared" si="10"/>
        <v>28201174216.98</v>
      </c>
      <c r="AI75" s="312">
        <f t="shared" si="10"/>
        <v>10850461129.2</v>
      </c>
      <c r="AJ75" s="312">
        <f t="shared" si="10"/>
        <v>0</v>
      </c>
      <c r="AK75" s="312">
        <f t="shared" si="10"/>
        <v>0</v>
      </c>
      <c r="AL75" s="312">
        <f t="shared" si="10"/>
        <v>0</v>
      </c>
      <c r="AM75" s="312">
        <f t="shared" si="10"/>
        <v>156908222407.53995</v>
      </c>
      <c r="AN75" s="312">
        <f t="shared" si="10"/>
        <v>138025302963.48996</v>
      </c>
    </row>
    <row r="76" spans="1:40" ht="25.5" customHeight="1" thickBot="1">
      <c r="A76" s="524"/>
      <c r="B76" s="525"/>
      <c r="C76" s="525"/>
      <c r="D76" s="525"/>
      <c r="E76" s="525"/>
      <c r="F76" s="526"/>
      <c r="G76" s="526"/>
      <c r="H76" s="525"/>
      <c r="I76" s="525"/>
      <c r="J76" s="527" t="s">
        <v>388</v>
      </c>
      <c r="K76" s="528">
        <f>K37+K75</f>
        <v>322644355435.2101</v>
      </c>
      <c r="L76" s="528">
        <f aca="true" t="shared" si="11" ref="L76:AN76">L37+L75</f>
        <v>-450870543.19</v>
      </c>
      <c r="M76" s="528">
        <f t="shared" si="11"/>
        <v>322193484892.02</v>
      </c>
      <c r="N76" s="528">
        <f t="shared" si="11"/>
        <v>15385681179.89</v>
      </c>
      <c r="O76" s="528">
        <f t="shared" si="11"/>
        <v>22299164366.850002</v>
      </c>
      <c r="P76" s="528">
        <f t="shared" si="11"/>
        <v>3805419637.45</v>
      </c>
      <c r="Q76" s="528">
        <f t="shared" si="11"/>
        <v>20218972627.23</v>
      </c>
      <c r="R76" s="528">
        <f t="shared" si="11"/>
        <v>48820285208.979996</v>
      </c>
      <c r="S76" s="528">
        <f t="shared" si="11"/>
        <v>6180222731.440001</v>
      </c>
      <c r="T76" s="528">
        <f t="shared" si="11"/>
        <v>11881857931.150002</v>
      </c>
      <c r="U76" s="528">
        <f t="shared" si="11"/>
        <v>43579634768.41999</v>
      </c>
      <c r="V76" s="528">
        <f t="shared" si="11"/>
        <v>11821295430.400002</v>
      </c>
      <c r="W76" s="528">
        <f t="shared" si="11"/>
        <v>0</v>
      </c>
      <c r="X76" s="528">
        <f t="shared" si="11"/>
        <v>0</v>
      </c>
      <c r="Y76" s="528">
        <f t="shared" si="11"/>
        <v>0</v>
      </c>
      <c r="Z76" s="528">
        <f t="shared" si="11"/>
        <v>183992533881.80997</v>
      </c>
      <c r="AA76" s="528">
        <f t="shared" si="11"/>
        <v>0</v>
      </c>
      <c r="AB76" s="528">
        <f t="shared" si="11"/>
        <v>35991780911.57001</v>
      </c>
      <c r="AC76" s="528">
        <f t="shared" si="11"/>
        <v>2854229830.2799997</v>
      </c>
      <c r="AD76" s="528">
        <f t="shared" si="11"/>
        <v>3165943492.3399997</v>
      </c>
      <c r="AE76" s="528">
        <f t="shared" si="11"/>
        <v>19208406148.129997</v>
      </c>
      <c r="AF76" s="528">
        <f t="shared" si="11"/>
        <v>54345663681.479996</v>
      </c>
      <c r="AG76" s="528">
        <f t="shared" si="11"/>
        <v>2799467559.54</v>
      </c>
      <c r="AH76" s="528">
        <f t="shared" si="11"/>
        <v>28255306869.75</v>
      </c>
      <c r="AI76" s="528">
        <f t="shared" si="11"/>
        <v>10863743845.220001</v>
      </c>
      <c r="AJ76" s="528">
        <f t="shared" si="11"/>
        <v>0</v>
      </c>
      <c r="AK76" s="528">
        <f t="shared" si="11"/>
        <v>0</v>
      </c>
      <c r="AL76" s="528">
        <f t="shared" si="11"/>
        <v>0</v>
      </c>
      <c r="AM76" s="528">
        <f t="shared" si="11"/>
        <v>157484542338.30994</v>
      </c>
      <c r="AN76" s="528">
        <f t="shared" si="11"/>
        <v>138200951010.20996</v>
      </c>
    </row>
    <row r="77" spans="1:40" ht="13.5">
      <c r="A77" s="529"/>
      <c r="B77" s="530"/>
      <c r="C77" s="530"/>
      <c r="D77" s="530"/>
      <c r="E77" s="530"/>
      <c r="F77" s="530"/>
      <c r="G77" s="530"/>
      <c r="H77" s="530"/>
      <c r="I77" s="530"/>
      <c r="J77" s="531"/>
      <c r="K77" s="532"/>
      <c r="L77" s="532"/>
      <c r="M77" s="532"/>
      <c r="N77" s="532"/>
      <c r="O77" s="532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533"/>
      <c r="AC77" s="533"/>
      <c r="AD77" s="532"/>
      <c r="AE77" s="532"/>
      <c r="AF77" s="532"/>
      <c r="AG77" s="532"/>
      <c r="AH77" s="534"/>
      <c r="AI77" s="532"/>
      <c r="AJ77" s="532"/>
      <c r="AK77" s="532"/>
      <c r="AL77" s="532"/>
      <c r="AM77" s="533"/>
      <c r="AN77" s="532"/>
    </row>
    <row r="78" spans="1:40" ht="13.5">
      <c r="A78" s="529"/>
      <c r="B78" s="530"/>
      <c r="C78" s="530"/>
      <c r="D78" s="530"/>
      <c r="E78" s="530"/>
      <c r="F78" s="530"/>
      <c r="G78" s="530"/>
      <c r="H78" s="530"/>
      <c r="I78" s="530"/>
      <c r="J78" s="531"/>
      <c r="K78" s="532"/>
      <c r="L78" s="535"/>
      <c r="M78" s="533"/>
      <c r="N78" s="533"/>
      <c r="O78" s="532"/>
      <c r="P78" s="532"/>
      <c r="Q78" s="532"/>
      <c r="R78" s="533"/>
      <c r="S78" s="532"/>
      <c r="T78" s="532"/>
      <c r="U78" s="532"/>
      <c r="V78" s="532"/>
      <c r="W78" s="532"/>
      <c r="X78" s="532"/>
      <c r="Y78" s="532"/>
      <c r="Z78" s="536"/>
      <c r="AA78" s="532"/>
      <c r="AB78" s="532"/>
      <c r="AC78" s="532"/>
      <c r="AD78" s="532"/>
      <c r="AE78" s="532"/>
      <c r="AF78" s="532"/>
      <c r="AG78" s="532"/>
      <c r="AH78" s="532"/>
      <c r="AI78" s="532"/>
      <c r="AJ78" s="532"/>
      <c r="AK78" s="532"/>
      <c r="AL78" s="532"/>
      <c r="AM78" s="533"/>
      <c r="AN78" s="537"/>
    </row>
    <row r="79" spans="1:40" ht="13.5">
      <c r="A79" s="529"/>
      <c r="B79" s="530"/>
      <c r="C79" s="530"/>
      <c r="D79" s="530"/>
      <c r="E79" s="530"/>
      <c r="F79" s="530"/>
      <c r="G79" s="530"/>
      <c r="H79" s="530"/>
      <c r="I79" s="530"/>
      <c r="J79" s="531"/>
      <c r="K79" s="532"/>
      <c r="L79" s="532"/>
      <c r="M79" s="533"/>
      <c r="N79" s="532"/>
      <c r="O79" s="532"/>
      <c r="P79" s="532"/>
      <c r="Q79" s="532"/>
      <c r="R79" s="532"/>
      <c r="S79" s="532"/>
      <c r="T79" s="532"/>
      <c r="U79" s="533"/>
      <c r="V79" s="532"/>
      <c r="W79" s="532"/>
      <c r="X79" s="532"/>
      <c r="Y79" s="532"/>
      <c r="Z79" s="534"/>
      <c r="AA79" s="532"/>
      <c r="AB79" s="532"/>
      <c r="AC79" s="532"/>
      <c r="AD79" s="532"/>
      <c r="AE79" s="532"/>
      <c r="AF79" s="532"/>
      <c r="AG79" s="532"/>
      <c r="AH79" s="532"/>
      <c r="AI79" s="532"/>
      <c r="AJ79" s="532"/>
      <c r="AK79" s="532"/>
      <c r="AL79" s="532"/>
      <c r="AM79" s="533"/>
      <c r="AN79" s="532"/>
    </row>
    <row r="80" spans="11:40" ht="13.5">
      <c r="K80" s="532"/>
      <c r="L80" s="532"/>
      <c r="M80" s="533"/>
      <c r="N80" s="533"/>
      <c r="O80" s="532"/>
      <c r="P80" s="532"/>
      <c r="Q80" s="532"/>
      <c r="R80" s="538"/>
      <c r="S80" s="532"/>
      <c r="T80" s="532"/>
      <c r="U80" s="532"/>
      <c r="V80" s="532"/>
      <c r="W80" s="532"/>
      <c r="X80" s="532"/>
      <c r="Y80" s="532"/>
      <c r="Z80" s="532"/>
      <c r="AA80" s="532"/>
      <c r="AB80" s="532"/>
      <c r="AC80" s="532"/>
      <c r="AD80" s="532"/>
      <c r="AE80" s="532"/>
      <c r="AF80" s="532"/>
      <c r="AG80" s="532"/>
      <c r="AH80" s="532"/>
      <c r="AI80" s="532"/>
      <c r="AJ80" s="532"/>
      <c r="AK80" s="532"/>
      <c r="AL80" s="532"/>
      <c r="AM80" s="532"/>
      <c r="AN80" s="533"/>
    </row>
    <row r="81" spans="11:40" ht="13.5">
      <c r="K81" s="532"/>
      <c r="L81" s="532"/>
      <c r="M81" s="533"/>
      <c r="N81" s="532"/>
      <c r="O81" s="532"/>
      <c r="P81" s="532"/>
      <c r="Q81" s="532"/>
      <c r="R81" s="538"/>
      <c r="S81" s="532"/>
      <c r="T81" s="532"/>
      <c r="U81" s="532"/>
      <c r="V81" s="532"/>
      <c r="W81" s="532"/>
      <c r="X81" s="532"/>
      <c r="Y81" s="532"/>
      <c r="Z81" s="532"/>
      <c r="AA81" s="532"/>
      <c r="AB81" s="532"/>
      <c r="AC81" s="532"/>
      <c r="AD81" s="532"/>
      <c r="AE81" s="532"/>
      <c r="AF81" s="532"/>
      <c r="AG81" s="532"/>
      <c r="AH81" s="532"/>
      <c r="AI81" s="532"/>
      <c r="AJ81" s="532"/>
      <c r="AK81" s="532"/>
      <c r="AL81" s="532"/>
      <c r="AM81" s="532"/>
      <c r="AN81" s="532"/>
    </row>
    <row r="82" spans="26:29" ht="13.5">
      <c r="Z82" s="536"/>
      <c r="AC82" s="472"/>
    </row>
    <row r="83" spans="13:14" ht="12">
      <c r="M83" s="472"/>
      <c r="N83" s="472"/>
    </row>
    <row r="85" ht="12">
      <c r="L85" s="472"/>
    </row>
  </sheetData>
  <sheetProtection/>
  <mergeCells count="3">
    <mergeCell ref="A4:AN4"/>
    <mergeCell ref="A5:AN5"/>
    <mergeCell ref="A6:AN6"/>
  </mergeCells>
  <printOptions/>
  <pageMargins left="0.7874015748031497" right="0.15748031496062992" top="0.7086614173228347" bottom="0.8267716535433072" header="0" footer="0.15748031496062992"/>
  <pageSetup horizontalDpi="300" verticalDpi="300" orientation="landscape" paperSize="14" scale="5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tabSelected="1" zoomScalePageLayoutView="0" workbookViewId="0" topLeftCell="A1">
      <selection activeCell="A3" sqref="A3"/>
    </sheetView>
  </sheetViews>
  <sheetFormatPr defaultColWidth="11.19921875" defaultRowHeight="15"/>
  <cols>
    <col min="1" max="1" width="32.09765625" style="0" customWidth="1"/>
    <col min="2" max="2" width="16.69921875" style="0" bestFit="1" customWidth="1"/>
    <col min="3" max="3" width="16.19921875" style="0" customWidth="1"/>
    <col min="4" max="4" width="18.09765625" style="0" bestFit="1" customWidth="1"/>
    <col min="5" max="5" width="16.69921875" style="0" bestFit="1" customWidth="1"/>
    <col min="6" max="6" width="19.8984375" style="0" bestFit="1" customWidth="1"/>
    <col min="7" max="7" width="15.59765625" style="0" customWidth="1"/>
    <col min="8" max="8" width="14.296875" style="0" bestFit="1" customWidth="1"/>
    <col min="9" max="9" width="16.69921875" style="0" bestFit="1" customWidth="1"/>
    <col min="10" max="10" width="11.296875" style="0" customWidth="1"/>
    <col min="11" max="11" width="11.69921875" style="0" bestFit="1" customWidth="1"/>
  </cols>
  <sheetData>
    <row r="1" spans="1:12" ht="18.75">
      <c r="A1" s="577" t="s">
        <v>391</v>
      </c>
      <c r="B1" s="577"/>
      <c r="C1" s="577"/>
      <c r="D1" s="577"/>
      <c r="E1" s="577"/>
      <c r="F1" s="577"/>
      <c r="G1" s="577"/>
      <c r="H1" s="577"/>
      <c r="I1" s="577"/>
      <c r="J1" s="577"/>
      <c r="K1" s="439"/>
      <c r="L1" s="439"/>
    </row>
    <row r="2" spans="1:16" ht="18.75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39"/>
      <c r="L2" s="439"/>
      <c r="M2" s="439"/>
      <c r="N2" s="439"/>
      <c r="O2" s="439"/>
      <c r="P2" s="439"/>
    </row>
    <row r="3" spans="1:16" ht="89.25" customHeight="1">
      <c r="A3" s="444" t="s">
        <v>238</v>
      </c>
      <c r="B3" s="448" t="s">
        <v>346</v>
      </c>
      <c r="C3" s="449" t="s">
        <v>210</v>
      </c>
      <c r="D3" s="448" t="s">
        <v>347</v>
      </c>
      <c r="E3" s="449" t="s">
        <v>259</v>
      </c>
      <c r="F3" s="444" t="s">
        <v>348</v>
      </c>
      <c r="G3" s="450" t="s">
        <v>349</v>
      </c>
      <c r="H3" s="450" t="s">
        <v>266</v>
      </c>
      <c r="I3" s="449" t="s">
        <v>13</v>
      </c>
      <c r="J3" s="450" t="s">
        <v>350</v>
      </c>
      <c r="K3" s="450" t="s">
        <v>351</v>
      </c>
      <c r="L3" s="439"/>
      <c r="M3" s="439"/>
      <c r="N3" s="439"/>
      <c r="O3" s="439"/>
      <c r="P3" s="439"/>
    </row>
    <row r="4" spans="1:16" ht="18">
      <c r="A4" s="451" t="s">
        <v>352</v>
      </c>
      <c r="B4" s="558">
        <f>RESERVA2020!K13</f>
        <v>17390238</v>
      </c>
      <c r="C4" s="452"/>
      <c r="D4" s="452">
        <f>B4-C4</f>
        <v>17390238</v>
      </c>
      <c r="E4" s="452">
        <f>RESERVA2020!Z13</f>
        <v>17390238</v>
      </c>
      <c r="F4" s="452">
        <f>D4-E4</f>
        <v>0</v>
      </c>
      <c r="G4" s="436">
        <f>E4/D4</f>
        <v>1</v>
      </c>
      <c r="H4" s="440" t="s">
        <v>392</v>
      </c>
      <c r="I4" s="435">
        <f>RESERVA2020!AM13</f>
        <v>17390238</v>
      </c>
      <c r="J4" s="436">
        <f>I4/D4</f>
        <v>1</v>
      </c>
      <c r="K4" s="440" t="s">
        <v>392</v>
      </c>
      <c r="L4" s="439"/>
      <c r="M4" s="439"/>
      <c r="N4" s="439"/>
      <c r="O4" s="439"/>
      <c r="P4" s="439"/>
    </row>
    <row r="5" spans="1:16" ht="18">
      <c r="A5" s="453" t="s">
        <v>353</v>
      </c>
      <c r="B5" s="559">
        <f>RESERVA2020!K36</f>
        <v>747923516.6899999</v>
      </c>
      <c r="C5" s="454"/>
      <c r="D5" s="452">
        <f>RESERVA2020!M36</f>
        <v>747091686.6899999</v>
      </c>
      <c r="E5" s="454">
        <f>RESERVA2020!Z36</f>
        <v>571443639.97</v>
      </c>
      <c r="F5" s="452">
        <f>D5-E5</f>
        <v>175648046.7199999</v>
      </c>
      <c r="G5" s="438">
        <f>E5/D5</f>
        <v>0.7648909098450674</v>
      </c>
      <c r="H5" s="441" t="s">
        <v>392</v>
      </c>
      <c r="I5" s="437">
        <f>RESERVA2020!AM36</f>
        <v>558929692.77</v>
      </c>
      <c r="J5" s="436">
        <f>I5/D5</f>
        <v>0.7481406937431545</v>
      </c>
      <c r="K5" s="441" t="s">
        <v>392</v>
      </c>
      <c r="L5" s="439"/>
      <c r="M5" s="439"/>
      <c r="N5" s="439"/>
      <c r="O5" s="439"/>
      <c r="P5" s="439"/>
    </row>
    <row r="6" spans="1:16" ht="18">
      <c r="A6" s="413" t="s">
        <v>256</v>
      </c>
      <c r="B6" s="455">
        <f>SUM(B4:B5)</f>
        <v>765313754.6899999</v>
      </c>
      <c r="C6" s="455">
        <f>SUM(C4:C5)</f>
        <v>0</v>
      </c>
      <c r="D6" s="455">
        <f>SUM(D4:D5)</f>
        <v>764481924.6899999</v>
      </c>
      <c r="E6" s="455">
        <f>SUM(E4:E5)</f>
        <v>588833877.97</v>
      </c>
      <c r="F6" s="455">
        <f>D6-E6</f>
        <v>175648046.7199999</v>
      </c>
      <c r="G6" s="423">
        <f>E6/D6</f>
        <v>0.7702391108969309</v>
      </c>
      <c r="H6" s="442" t="s">
        <v>392</v>
      </c>
      <c r="I6" s="433">
        <f>SUM(I4:I5)</f>
        <v>576319930.77</v>
      </c>
      <c r="J6" s="423">
        <f>I6/D6</f>
        <v>0.7538699243984084</v>
      </c>
      <c r="K6" s="442" t="s">
        <v>392</v>
      </c>
      <c r="L6" s="439"/>
      <c r="M6" s="439"/>
      <c r="N6" s="439"/>
      <c r="O6" s="439"/>
      <c r="P6" s="439"/>
    </row>
    <row r="7" spans="1:16" ht="18">
      <c r="A7" s="415" t="s">
        <v>257</v>
      </c>
      <c r="B7" s="456">
        <v>321879041680.52014</v>
      </c>
      <c r="C7" s="457">
        <v>-424293810.44</v>
      </c>
      <c r="D7" s="456">
        <f>RESERVA2020!M75</f>
        <v>321429002967.33</v>
      </c>
      <c r="E7" s="457">
        <f>RESERVA2020!Z75</f>
        <v>183403700003.83997</v>
      </c>
      <c r="F7" s="456">
        <f>D7-E7</f>
        <v>138025302963.49005</v>
      </c>
      <c r="G7" s="424">
        <f>E7/D7</f>
        <v>0.57058852284864</v>
      </c>
      <c r="H7" s="443" t="s">
        <v>393</v>
      </c>
      <c r="I7" s="434">
        <f>RESERVA2020!AM75</f>
        <v>156908222407.53995</v>
      </c>
      <c r="J7" s="424">
        <f>I7/D7</f>
        <v>0.48815825877258523</v>
      </c>
      <c r="K7" s="443" t="s">
        <v>393</v>
      </c>
      <c r="L7" s="439"/>
      <c r="M7" s="439"/>
      <c r="N7" s="439"/>
      <c r="O7" s="439"/>
      <c r="P7" s="439"/>
    </row>
    <row r="8" spans="1:16" ht="18">
      <c r="A8" s="418" t="s">
        <v>258</v>
      </c>
      <c r="B8" s="431">
        <f>B6+B7</f>
        <v>322644355435.21014</v>
      </c>
      <c r="C8" s="431">
        <f>C6+C7</f>
        <v>-424293810.44</v>
      </c>
      <c r="D8" s="432">
        <f>D6+D7</f>
        <v>322193484892.02</v>
      </c>
      <c r="E8" s="431">
        <f>E6+E7</f>
        <v>183992533881.80997</v>
      </c>
      <c r="F8" s="431">
        <f>D8-E8</f>
        <v>138200951010.21005</v>
      </c>
      <c r="G8" s="458">
        <f>E8/D8</f>
        <v>0.5710622421290525</v>
      </c>
      <c r="H8" s="459" t="s">
        <v>393</v>
      </c>
      <c r="I8" s="431">
        <f>I6+I7</f>
        <v>157484542338.30994</v>
      </c>
      <c r="J8" s="458">
        <f>I8/D8</f>
        <v>0.4887887239280749</v>
      </c>
      <c r="K8" s="459" t="s">
        <v>393</v>
      </c>
      <c r="L8" s="439"/>
      <c r="M8" s="439"/>
      <c r="N8" s="439"/>
      <c r="O8" s="439"/>
      <c r="P8" s="439"/>
    </row>
    <row r="9" spans="1:17" ht="12">
      <c r="A9" s="439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</row>
    <row r="10" spans="1:17" ht="38.25" customHeigh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</row>
    <row r="11" spans="1:17" ht="12">
      <c r="A11" s="439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</row>
    <row r="12" spans="1:17" ht="12">
      <c r="A12" s="439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</row>
    <row r="13" spans="1:17" ht="12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</row>
    <row r="14" spans="1:17" ht="12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</row>
    <row r="15" spans="1:17" ht="12">
      <c r="A15" s="439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</row>
    <row r="16" spans="1:17" ht="12">
      <c r="A16" s="439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</row>
    <row r="17" spans="1:17" ht="12">
      <c r="A17" s="439"/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</row>
    <row r="18" spans="1:17" ht="12">
      <c r="A18" s="439"/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</row>
    <row r="19" spans="1:17" ht="12">
      <c r="A19" s="439"/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</row>
    <row r="20" spans="1:17" ht="12">
      <c r="A20" s="439"/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</row>
    <row r="21" spans="1:17" ht="12">
      <c r="A21" s="439"/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</row>
    <row r="22" spans="1:17" ht="12">
      <c r="A22" s="439"/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</row>
    <row r="23" spans="1:17" ht="12">
      <c r="A23" s="439"/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</row>
    <row r="24" spans="1:17" ht="12">
      <c r="A24" s="439"/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</row>
    <row r="25" spans="1:17" ht="12">
      <c r="A25" s="439"/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</row>
    <row r="26" spans="1:17" ht="12">
      <c r="A26" s="439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</row>
    <row r="27" spans="1:17" ht="12">
      <c r="A27" s="439"/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</row>
    <row r="28" spans="1:17" ht="12">
      <c r="A28" s="439"/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</row>
    <row r="29" spans="1:17" ht="12">
      <c r="A29" s="439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</row>
    <row r="30" spans="1:17" ht="12">
      <c r="A30" s="439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</row>
    <row r="31" spans="1:17" ht="12">
      <c r="A31" s="439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</row>
    <row r="32" spans="1:17" ht="12">
      <c r="A32" s="439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</row>
    <row r="33" spans="1:17" ht="12">
      <c r="A33" s="439"/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</row>
    <row r="34" spans="1:17" ht="12">
      <c r="A34" s="439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</row>
    <row r="35" spans="1:17" ht="12">
      <c r="A35" s="439"/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</row>
    <row r="36" spans="1:17" ht="12">
      <c r="A36" s="439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</row>
    <row r="37" spans="1:17" ht="12">
      <c r="A37" s="439"/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</row>
    <row r="38" spans="1:17" ht="12">
      <c r="A38" s="439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</row>
    <row r="39" spans="1:17" ht="12">
      <c r="A39" s="439"/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</row>
    <row r="40" spans="1:17" ht="12">
      <c r="A40" s="439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</row>
    <row r="41" spans="1:17" ht="12">
      <c r="A41" s="439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</row>
    <row r="42" spans="1:17" ht="12">
      <c r="A42" s="439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</row>
    <row r="43" spans="1:17" ht="12">
      <c r="A43" s="439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</row>
    <row r="44" spans="1:17" ht="12">
      <c r="A44" s="439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</row>
    <row r="45" spans="1:17" ht="12">
      <c r="A45" s="439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</row>
    <row r="46" spans="1:17" ht="12">
      <c r="A46" s="439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</row>
    <row r="47" spans="1:17" ht="12">
      <c r="A47" s="439"/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</row>
    <row r="48" spans="1:17" ht="12">
      <c r="A48" s="439"/>
      <c r="B48" s="439"/>
      <c r="C48" s="439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</row>
    <row r="49" spans="1:17" ht="12">
      <c r="A49" s="439"/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</row>
    <row r="50" spans="1:17" ht="12">
      <c r="A50" s="439"/>
      <c r="B50" s="439"/>
      <c r="C50" s="439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</row>
    <row r="51" spans="1:17" ht="12">
      <c r="A51" s="439"/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</row>
    <row r="52" spans="1:17" ht="12">
      <c r="A52" s="439"/>
      <c r="B52" s="439"/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</row>
    <row r="53" spans="1:17" ht="12">
      <c r="A53" s="439"/>
      <c r="B53" s="439"/>
      <c r="C53" s="439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</row>
    <row r="54" spans="1:17" ht="12">
      <c r="A54" s="439"/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439"/>
      <c r="P54" s="439"/>
      <c r="Q54" s="439"/>
    </row>
    <row r="55" spans="1:17" ht="12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  <row r="56" spans="1:17" ht="12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  <row r="57" spans="1:17" ht="12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  <row r="58" spans="1:17" ht="12">
      <c r="A58" s="439"/>
      <c r="B58" s="439"/>
      <c r="C58" s="439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</row>
    <row r="59" spans="1:17" ht="12">
      <c r="A59" s="439"/>
      <c r="B59" s="439"/>
      <c r="C59" s="439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</row>
    <row r="60" spans="1:17" ht="12">
      <c r="A60" s="439"/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39"/>
      <c r="Q60" s="439"/>
    </row>
    <row r="61" spans="1:17" ht="12">
      <c r="A61" s="439"/>
      <c r="B61" s="439"/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</row>
    <row r="62" spans="1:17" ht="12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  <row r="63" spans="1:17" ht="12">
      <c r="A63" s="439"/>
      <c r="B63" s="439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</row>
    <row r="64" spans="1:17" ht="12">
      <c r="A64" s="439"/>
      <c r="B64" s="439"/>
      <c r="C64" s="439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O64" s="439"/>
      <c r="P64" s="439"/>
      <c r="Q64" s="439"/>
    </row>
    <row r="65" spans="1:17" ht="12">
      <c r="A65" s="439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</row>
    <row r="66" spans="1:17" ht="12">
      <c r="A66" s="439"/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O66" s="439"/>
      <c r="P66" s="439"/>
      <c r="Q66" s="439"/>
    </row>
    <row r="67" spans="1:17" ht="12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</row>
    <row r="68" spans="1:17" ht="12">
      <c r="A68" s="439"/>
      <c r="B68" s="439"/>
      <c r="C68" s="439"/>
      <c r="D68" s="439"/>
      <c r="E68" s="439"/>
      <c r="F68" s="439"/>
      <c r="G68" s="439"/>
      <c r="H68" s="439"/>
      <c r="I68" s="439"/>
      <c r="J68" s="439"/>
      <c r="K68" s="439"/>
      <c r="L68" s="439"/>
      <c r="M68" s="439"/>
      <c r="N68" s="439"/>
      <c r="O68" s="439"/>
      <c r="P68" s="439"/>
      <c r="Q68" s="439"/>
    </row>
    <row r="69" spans="1:17" ht="12">
      <c r="A69" s="439"/>
      <c r="B69" s="439"/>
      <c r="C69" s="439"/>
      <c r="D69" s="439"/>
      <c r="E69" s="439"/>
      <c r="F69" s="439"/>
      <c r="G69" s="439"/>
      <c r="H69" s="439"/>
      <c r="I69" s="439"/>
      <c r="J69" s="439"/>
      <c r="K69" s="439"/>
      <c r="L69" s="439"/>
      <c r="M69" s="439"/>
      <c r="N69" s="439"/>
      <c r="O69" s="439"/>
      <c r="P69" s="439"/>
      <c r="Q69" s="439"/>
    </row>
    <row r="70" spans="1:17" ht="12">
      <c r="A70" s="439"/>
      <c r="B70" s="439"/>
      <c r="C70" s="439"/>
      <c r="D70" s="439"/>
      <c r="E70" s="439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</row>
    <row r="71" spans="1:17" ht="12">
      <c r="A71" s="439"/>
      <c r="B71" s="439"/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</row>
    <row r="72" spans="1:17" ht="12">
      <c r="A72" s="439"/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</row>
    <row r="73" spans="1:17" ht="12">
      <c r="A73" s="439"/>
      <c r="B73" s="439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</row>
    <row r="74" spans="1:17" ht="12">
      <c r="A74" s="439"/>
      <c r="B74" s="439"/>
      <c r="C74" s="439"/>
      <c r="D74" s="439"/>
      <c r="E74" s="439"/>
      <c r="F74" s="439"/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</row>
    <row r="75" spans="1:17" ht="12">
      <c r="A75" s="439"/>
      <c r="B75" s="439"/>
      <c r="C75" s="439"/>
      <c r="D75" s="439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</row>
    <row r="76" spans="1:17" ht="12">
      <c r="A76" s="439"/>
      <c r="B76" s="439"/>
      <c r="C76" s="439"/>
      <c r="D76" s="439"/>
      <c r="E76" s="439"/>
      <c r="F76" s="439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</row>
    <row r="77" spans="1:17" ht="12">
      <c r="A77" s="439"/>
      <c r="B77" s="439"/>
      <c r="C77" s="439"/>
      <c r="D77" s="439"/>
      <c r="E77" s="439"/>
      <c r="F77" s="439"/>
      <c r="G77" s="439"/>
      <c r="H77" s="439"/>
      <c r="I77" s="439"/>
      <c r="J77" s="439"/>
      <c r="K77" s="439"/>
      <c r="L77" s="439"/>
      <c r="M77" s="439"/>
      <c r="N77" s="439"/>
      <c r="O77" s="439"/>
      <c r="P77" s="439"/>
      <c r="Q77" s="439"/>
    </row>
    <row r="78" spans="1:17" ht="12">
      <c r="A78" s="439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</row>
    <row r="79" spans="1:17" ht="12">
      <c r="A79" s="439"/>
      <c r="B79" s="439"/>
      <c r="C79" s="439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</row>
    <row r="80" spans="1:17" ht="12">
      <c r="A80" s="439"/>
      <c r="B80" s="439"/>
      <c r="C80" s="439"/>
      <c r="D80" s="439"/>
      <c r="E80" s="439"/>
      <c r="F80" s="439"/>
      <c r="G80" s="439"/>
      <c r="H80" s="439"/>
      <c r="I80" s="439"/>
      <c r="J80" s="439"/>
      <c r="K80" s="439"/>
      <c r="L80" s="439"/>
      <c r="M80" s="439"/>
      <c r="N80" s="439"/>
      <c r="O80" s="439"/>
      <c r="P80" s="439"/>
      <c r="Q80" s="439"/>
    </row>
    <row r="81" spans="1:17" ht="12">
      <c r="A81" s="439"/>
      <c r="B81" s="439"/>
      <c r="C81" s="439"/>
      <c r="D81" s="439"/>
      <c r="E81" s="439"/>
      <c r="F81" s="439"/>
      <c r="G81" s="439"/>
      <c r="H81" s="439"/>
      <c r="I81" s="439"/>
      <c r="J81" s="439"/>
      <c r="K81" s="439"/>
      <c r="L81" s="439"/>
      <c r="M81" s="439"/>
      <c r="N81" s="439"/>
      <c r="O81" s="439"/>
      <c r="P81" s="439"/>
      <c r="Q81" s="439"/>
    </row>
    <row r="82" spans="1:17" ht="12">
      <c r="A82" s="439"/>
      <c r="B82" s="439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</row>
    <row r="83" spans="1:17" ht="12">
      <c r="A83" s="439"/>
      <c r="B83" s="439"/>
      <c r="C83" s="439"/>
      <c r="D83" s="439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</row>
    <row r="84" spans="1:17" ht="12">
      <c r="A84" s="439"/>
      <c r="B84" s="439"/>
      <c r="C84" s="439"/>
      <c r="D84" s="439"/>
      <c r="E84" s="439"/>
      <c r="F84" s="439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439"/>
    </row>
    <row r="85" spans="1:17" ht="12">
      <c r="A85" s="439"/>
      <c r="B85" s="439"/>
      <c r="C85" s="439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</row>
    <row r="86" spans="1:17" ht="12">
      <c r="A86" s="439"/>
      <c r="B86" s="439"/>
      <c r="C86" s="439"/>
      <c r="D86" s="439"/>
      <c r="E86" s="439"/>
      <c r="F86" s="439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439"/>
    </row>
    <row r="87" spans="1:17" ht="12">
      <c r="A87" s="439"/>
      <c r="B87" s="439"/>
      <c r="C87" s="439"/>
      <c r="D87" s="439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</row>
    <row r="88" spans="1:17" ht="12">
      <c r="A88" s="439"/>
      <c r="B88" s="439"/>
      <c r="C88" s="439"/>
      <c r="D88" s="439"/>
      <c r="E88" s="439"/>
      <c r="F88" s="439"/>
      <c r="G88" s="439"/>
      <c r="H88" s="439"/>
      <c r="I88" s="439"/>
      <c r="J88" s="439"/>
      <c r="K88" s="439"/>
      <c r="L88" s="439"/>
      <c r="M88" s="439"/>
      <c r="N88" s="439"/>
      <c r="O88" s="439"/>
      <c r="P88" s="439"/>
      <c r="Q88" s="439"/>
    </row>
    <row r="89" spans="1:17" ht="12">
      <c r="A89" s="439"/>
      <c r="B89" s="439"/>
      <c r="C89" s="439"/>
      <c r="D89" s="439"/>
      <c r="E89" s="439"/>
      <c r="F89" s="439"/>
      <c r="G89" s="439"/>
      <c r="H89" s="439"/>
      <c r="I89" s="439"/>
      <c r="J89" s="439"/>
      <c r="K89" s="439"/>
      <c r="L89" s="439"/>
      <c r="M89" s="439"/>
      <c r="N89" s="439"/>
      <c r="O89" s="439"/>
      <c r="P89" s="439"/>
      <c r="Q89" s="439"/>
    </row>
    <row r="90" spans="1:17" ht="12">
      <c r="A90" s="439"/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439"/>
    </row>
    <row r="91" spans="1:17" ht="12">
      <c r="A91" s="439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</row>
    <row r="92" spans="1:17" ht="12">
      <c r="A92" s="439"/>
      <c r="B92" s="439"/>
      <c r="C92" s="439"/>
      <c r="D92" s="439"/>
      <c r="E92" s="43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439"/>
    </row>
    <row r="93" spans="1:17" ht="12">
      <c r="A93" s="439"/>
      <c r="B93" s="439"/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439"/>
    </row>
    <row r="94" spans="1:17" ht="12">
      <c r="A94" s="439"/>
      <c r="B94" s="439"/>
      <c r="C94" s="439"/>
      <c r="D94" s="439"/>
      <c r="E94" s="43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439"/>
    </row>
    <row r="95" spans="1:17" ht="12">
      <c r="A95" s="439"/>
      <c r="B95" s="439"/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</row>
    <row r="96" spans="1:17" ht="12">
      <c r="A96" s="439"/>
      <c r="B96" s="439"/>
      <c r="C96" s="439"/>
      <c r="D96" s="439"/>
      <c r="E96" s="439"/>
      <c r="F96" s="439"/>
      <c r="G96" s="439"/>
      <c r="H96" s="439"/>
      <c r="I96" s="439"/>
      <c r="J96" s="439"/>
      <c r="K96" s="439"/>
      <c r="L96" s="439"/>
      <c r="M96" s="439"/>
      <c r="N96" s="439"/>
      <c r="O96" s="439"/>
      <c r="P96" s="439"/>
      <c r="Q96" s="439"/>
    </row>
    <row r="97" spans="1:17" ht="12">
      <c r="A97" s="439"/>
      <c r="B97" s="439"/>
      <c r="C97" s="439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</row>
    <row r="98" spans="1:17" ht="12">
      <c r="A98" s="439"/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</row>
    <row r="99" spans="1:17" ht="12">
      <c r="A99" s="439"/>
      <c r="B99" s="439"/>
      <c r="C99" s="439"/>
      <c r="D99" s="439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</row>
    <row r="100" spans="1:17" ht="12">
      <c r="A100" s="439"/>
      <c r="B100" s="439"/>
      <c r="C100" s="439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</row>
    <row r="101" spans="1:17" ht="12">
      <c r="A101" s="439"/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</row>
    <row r="102" spans="1:17" ht="12">
      <c r="A102" s="439"/>
      <c r="B102" s="439"/>
      <c r="C102" s="439"/>
      <c r="D102" s="439"/>
      <c r="E102" s="439"/>
      <c r="F102" s="439"/>
      <c r="G102" s="439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</row>
    <row r="103" spans="1:17" ht="12">
      <c r="A103" s="439"/>
      <c r="B103" s="439"/>
      <c r="C103" s="439"/>
      <c r="D103" s="439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</row>
    <row r="104" spans="1:17" ht="12">
      <c r="A104" s="439"/>
      <c r="B104" s="439"/>
      <c r="C104" s="439"/>
      <c r="D104" s="439"/>
      <c r="E104" s="439"/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</row>
    <row r="105" spans="1:17" ht="12">
      <c r="A105" s="439"/>
      <c r="B105" s="439"/>
      <c r="C105" s="439"/>
      <c r="D105" s="439"/>
      <c r="E105" s="439"/>
      <c r="F105" s="439"/>
      <c r="G105" s="439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</row>
    <row r="106" spans="1:17" ht="12">
      <c r="A106" s="439"/>
      <c r="B106" s="439"/>
      <c r="C106" s="439"/>
      <c r="D106" s="439"/>
      <c r="E106" s="439"/>
      <c r="F106" s="439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</row>
    <row r="107" spans="1:17" ht="12">
      <c r="A107" s="439"/>
      <c r="B107" s="439"/>
      <c r="C107" s="439"/>
      <c r="D107" s="439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</row>
    <row r="108" spans="1:17" ht="12">
      <c r="A108" s="439"/>
      <c r="B108" s="439"/>
      <c r="C108" s="439"/>
      <c r="D108" s="439"/>
      <c r="E108" s="439"/>
      <c r="F108" s="439"/>
      <c r="G108" s="439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</row>
    <row r="109" spans="1:17" ht="12">
      <c r="A109" s="439"/>
      <c r="B109" s="439"/>
      <c r="C109" s="439"/>
      <c r="D109" s="439"/>
      <c r="E109" s="439"/>
      <c r="F109" s="439"/>
      <c r="G109" s="43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</row>
    <row r="110" spans="1:17" ht="12">
      <c r="A110" s="439"/>
      <c r="B110" s="439"/>
      <c r="C110" s="439"/>
      <c r="D110" s="439"/>
      <c r="E110" s="439"/>
      <c r="F110" s="439"/>
      <c r="G110" s="439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</row>
    <row r="111" spans="1:17" ht="12">
      <c r="A111" s="439"/>
      <c r="B111" s="439"/>
      <c r="C111" s="439"/>
      <c r="D111" s="439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</row>
    <row r="112" spans="1:17" ht="12">
      <c r="A112" s="439"/>
      <c r="B112" s="439"/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</row>
    <row r="113" spans="1:17" ht="12">
      <c r="A113" s="439"/>
      <c r="B113" s="439"/>
      <c r="C113" s="439"/>
      <c r="D113" s="439"/>
      <c r="E113" s="439"/>
      <c r="F113" s="439"/>
      <c r="G113" s="439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</row>
    <row r="114" spans="1:17" ht="12">
      <c r="A114" s="439"/>
      <c r="B114" s="439"/>
      <c r="C114" s="439"/>
      <c r="D114" s="439"/>
      <c r="E114" s="439"/>
      <c r="F114" s="439"/>
      <c r="G114" s="439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</row>
    <row r="115" spans="1:17" ht="12">
      <c r="A115" s="439"/>
      <c r="B115" s="439"/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</row>
    <row r="116" spans="1:17" ht="12">
      <c r="A116" s="439"/>
      <c r="B116" s="439"/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</row>
    <row r="117" spans="1:17" ht="12">
      <c r="A117" s="439"/>
      <c r="B117" s="439"/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</row>
    <row r="118" spans="1:17" ht="12">
      <c r="A118" s="439"/>
      <c r="B118" s="439"/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</row>
    <row r="119" spans="1:17" ht="12">
      <c r="A119" s="439"/>
      <c r="B119" s="439"/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</row>
    <row r="120" spans="1:17" ht="12">
      <c r="A120" s="439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</row>
    <row r="121" spans="1:17" ht="12">
      <c r="A121" s="439"/>
      <c r="B121" s="439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</row>
    <row r="122" spans="1:17" ht="12">
      <c r="A122" s="439"/>
      <c r="B122" s="439"/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</row>
    <row r="123" spans="1:17" ht="12">
      <c r="A123" s="439"/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</row>
    <row r="124" spans="1:17" ht="12">
      <c r="A124" s="439"/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</row>
    <row r="125" spans="1:17" ht="12">
      <c r="A125" s="439"/>
      <c r="B125" s="439"/>
      <c r="C125" s="439"/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</row>
    <row r="126" spans="1:17" ht="12">
      <c r="A126" s="43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</row>
    <row r="127" spans="1:17" ht="12">
      <c r="A127" s="439"/>
      <c r="B127" s="439"/>
      <c r="C127" s="439"/>
      <c r="D127" s="439"/>
      <c r="E127" s="439"/>
      <c r="F127" s="439"/>
      <c r="G127" s="439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</row>
    <row r="128" spans="1:17" ht="12">
      <c r="A128" s="439"/>
      <c r="B128" s="439"/>
      <c r="C128" s="439"/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</row>
    <row r="129" spans="1:17" ht="12">
      <c r="A129" s="439"/>
      <c r="B129" s="439"/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</row>
    <row r="130" spans="1:17" ht="12">
      <c r="A130" s="439"/>
      <c r="B130" s="439"/>
      <c r="C130" s="439"/>
      <c r="D130" s="439"/>
      <c r="E130" s="439"/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</row>
    <row r="131" spans="1:17" ht="12">
      <c r="A131" s="439"/>
      <c r="B131" s="439"/>
      <c r="C131" s="439"/>
      <c r="D131" s="439"/>
      <c r="E131" s="439"/>
      <c r="F131" s="439"/>
      <c r="G131" s="439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</row>
    <row r="132" spans="1:17" ht="12">
      <c r="A132" s="439"/>
      <c r="B132" s="439"/>
      <c r="C132" s="439"/>
      <c r="D132" s="439"/>
      <c r="E132" s="439"/>
      <c r="F132" s="439"/>
      <c r="G132" s="439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</row>
    <row r="133" spans="1:17" ht="12">
      <c r="A133" s="439"/>
      <c r="B133" s="439"/>
      <c r="C133" s="439"/>
      <c r="D133" s="439"/>
      <c r="E133" s="439"/>
      <c r="F133" s="439"/>
      <c r="G133" s="439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</row>
    <row r="134" spans="1:17" ht="12">
      <c r="A134" s="439"/>
      <c r="B134" s="439"/>
      <c r="C134" s="439"/>
      <c r="D134" s="439"/>
      <c r="E134" s="439"/>
      <c r="F134" s="439"/>
      <c r="G134" s="439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</row>
    <row r="135" spans="1:17" ht="12">
      <c r="A135" s="439"/>
      <c r="B135" s="439"/>
      <c r="C135" s="439"/>
      <c r="D135" s="439"/>
      <c r="E135" s="439"/>
      <c r="F135" s="439"/>
      <c r="G135" s="439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</row>
    <row r="136" spans="1:17" ht="12">
      <c r="A136" s="439"/>
      <c r="B136" s="439"/>
      <c r="C136" s="439"/>
      <c r="D136" s="439"/>
      <c r="E136" s="439"/>
      <c r="F136" s="439"/>
      <c r="G136" s="439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</row>
    <row r="137" spans="1:17" ht="12">
      <c r="A137" s="439"/>
      <c r="B137" s="439"/>
      <c r="C137" s="439"/>
      <c r="D137" s="439"/>
      <c r="E137" s="439"/>
      <c r="F137" s="439"/>
      <c r="G137" s="439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</row>
    <row r="138" spans="1:17" ht="12">
      <c r="A138" s="439"/>
      <c r="B138" s="439"/>
      <c r="C138" s="439"/>
      <c r="D138" s="439"/>
      <c r="E138" s="439"/>
      <c r="F138" s="439"/>
      <c r="G138" s="439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</row>
    <row r="139" spans="1:17" ht="12">
      <c r="A139" s="439"/>
      <c r="B139" s="439"/>
      <c r="C139" s="439"/>
      <c r="D139" s="439"/>
      <c r="E139" s="439"/>
      <c r="F139" s="439"/>
      <c r="G139" s="4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</row>
    <row r="140" spans="1:17" ht="12">
      <c r="A140" s="439"/>
      <c r="B140" s="439"/>
      <c r="C140" s="439"/>
      <c r="D140" s="439"/>
      <c r="E140" s="439"/>
      <c r="F140" s="439"/>
      <c r="G140" s="439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</row>
    <row r="141" spans="1:17" ht="12">
      <c r="A141" s="439"/>
      <c r="B141" s="439"/>
      <c r="C141" s="439"/>
      <c r="D141" s="439"/>
      <c r="E141" s="439"/>
      <c r="F141" s="439"/>
      <c r="G141" s="439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</row>
    <row r="142" spans="1:17" ht="12">
      <c r="A142" s="439"/>
      <c r="B142" s="439"/>
      <c r="C142" s="439"/>
      <c r="D142" s="439"/>
      <c r="E142" s="439"/>
      <c r="F142" s="439"/>
      <c r="G142" s="439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</row>
    <row r="143" spans="1:17" ht="12">
      <c r="A143" s="439"/>
      <c r="B143" s="439"/>
      <c r="C143" s="439"/>
      <c r="D143" s="439"/>
      <c r="E143" s="439"/>
      <c r="F143" s="439"/>
      <c r="G143" s="439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</row>
    <row r="144" spans="1:17" ht="12">
      <c r="A144" s="439"/>
      <c r="B144" s="439"/>
      <c r="C144" s="439"/>
      <c r="D144" s="439"/>
      <c r="E144" s="439"/>
      <c r="F144" s="439"/>
      <c r="G144" s="439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</row>
    <row r="145" spans="1:17" ht="12">
      <c r="A145" s="439"/>
      <c r="B145" s="439"/>
      <c r="C145" s="439"/>
      <c r="D145" s="439"/>
      <c r="E145" s="439"/>
      <c r="F145" s="439"/>
      <c r="G145" s="439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</row>
    <row r="146" spans="1:17" ht="12">
      <c r="A146" s="439"/>
      <c r="B146" s="439"/>
      <c r="C146" s="439"/>
      <c r="D146" s="439"/>
      <c r="E146" s="439"/>
      <c r="F146" s="439"/>
      <c r="G146" s="439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</row>
    <row r="147" spans="1:17" ht="12">
      <c r="A147" s="439"/>
      <c r="B147" s="439"/>
      <c r="C147" s="439"/>
      <c r="D147" s="439"/>
      <c r="E147" s="439"/>
      <c r="F147" s="439"/>
      <c r="G147" s="439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</row>
    <row r="148" spans="1:17" ht="12">
      <c r="A148" s="439"/>
      <c r="B148" s="439"/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</row>
    <row r="149" spans="1:17" ht="12">
      <c r="A149" s="439"/>
      <c r="B149" s="439"/>
      <c r="C149" s="439"/>
      <c r="D149" s="439"/>
      <c r="E149" s="439"/>
      <c r="F149" s="439"/>
      <c r="G149" s="43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</row>
    <row r="150" spans="1:17" ht="12">
      <c r="A150" s="439"/>
      <c r="B150" s="439"/>
      <c r="C150" s="439"/>
      <c r="D150" s="439"/>
      <c r="E150" s="439"/>
      <c r="F150" s="439"/>
      <c r="G150" s="439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</row>
    <row r="151" spans="1:17" ht="12">
      <c r="A151" s="439"/>
      <c r="B151" s="439"/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</row>
    <row r="152" spans="1:17" ht="12">
      <c r="A152" s="439"/>
      <c r="B152" s="439"/>
      <c r="C152" s="439"/>
      <c r="D152" s="439"/>
      <c r="E152" s="439"/>
      <c r="F152" s="439"/>
      <c r="G152" s="439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</row>
    <row r="153" spans="1:17" ht="12">
      <c r="A153" s="439"/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</row>
    <row r="154" spans="1:17" ht="12">
      <c r="A154" s="439"/>
      <c r="B154" s="439"/>
      <c r="C154" s="439"/>
      <c r="D154" s="439"/>
      <c r="E154" s="439"/>
      <c r="F154" s="439"/>
      <c r="G154" s="439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</row>
    <row r="155" spans="1:17" ht="12">
      <c r="A155" s="439"/>
      <c r="B155" s="439"/>
      <c r="C155" s="439"/>
      <c r="D155" s="439"/>
      <c r="E155" s="439"/>
      <c r="F155" s="439"/>
      <c r="G155" s="439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</row>
    <row r="156" spans="1:17" ht="12">
      <c r="A156" s="439"/>
      <c r="B156" s="439"/>
      <c r="C156" s="439"/>
      <c r="D156" s="439"/>
      <c r="E156" s="439"/>
      <c r="F156" s="439"/>
      <c r="G156" s="439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</row>
    <row r="157" spans="1:17" ht="12">
      <c r="A157" s="439"/>
      <c r="B157" s="439"/>
      <c r="C157" s="439"/>
      <c r="D157" s="439"/>
      <c r="E157" s="439"/>
      <c r="F157" s="439"/>
      <c r="G157" s="439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</row>
    <row r="158" spans="1:17" ht="12">
      <c r="A158" s="439"/>
      <c r="B158" s="439"/>
      <c r="C158" s="439"/>
      <c r="D158" s="439"/>
      <c r="E158" s="439"/>
      <c r="F158" s="439"/>
      <c r="G158" s="439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</row>
    <row r="159" spans="1:17" ht="12">
      <c r="A159" s="439"/>
      <c r="B159" s="439"/>
      <c r="C159" s="439"/>
      <c r="D159" s="439"/>
      <c r="E159" s="439"/>
      <c r="F159" s="439"/>
      <c r="G159" s="43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</row>
    <row r="160" spans="1:17" ht="12">
      <c r="A160" s="439"/>
      <c r="B160" s="439"/>
      <c r="C160" s="439"/>
      <c r="D160" s="439"/>
      <c r="E160" s="439"/>
      <c r="F160" s="439"/>
      <c r="G160" s="439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</row>
    <row r="161" spans="1:17" ht="12">
      <c r="A161" s="439"/>
      <c r="B161" s="439"/>
      <c r="C161" s="439"/>
      <c r="D161" s="439"/>
      <c r="E161" s="439"/>
      <c r="F161" s="439"/>
      <c r="G161" s="439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</row>
    <row r="162" spans="1:17" ht="12">
      <c r="A162" s="439"/>
      <c r="B162" s="439"/>
      <c r="C162" s="439"/>
      <c r="D162" s="439"/>
      <c r="E162" s="439"/>
      <c r="F162" s="439"/>
      <c r="G162" s="439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</row>
    <row r="163" spans="1:17" ht="12">
      <c r="A163" s="439"/>
      <c r="B163" s="439"/>
      <c r="C163" s="439"/>
      <c r="D163" s="439"/>
      <c r="E163" s="439"/>
      <c r="F163" s="439"/>
      <c r="G163" s="439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</row>
    <row r="164" spans="1:17" ht="12">
      <c r="A164" s="439"/>
      <c r="B164" s="439"/>
      <c r="C164" s="439"/>
      <c r="D164" s="439"/>
      <c r="E164" s="439"/>
      <c r="F164" s="439"/>
      <c r="G164" s="439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</row>
    <row r="165" spans="1:17" ht="12">
      <c r="A165" s="439"/>
      <c r="B165" s="439"/>
      <c r="C165" s="439"/>
      <c r="D165" s="439"/>
      <c r="E165" s="439"/>
      <c r="F165" s="439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</row>
    <row r="166" spans="1:17" ht="12">
      <c r="A166" s="439"/>
      <c r="B166" s="439"/>
      <c r="C166" s="439"/>
      <c r="D166" s="439"/>
      <c r="E166" s="439"/>
      <c r="F166" s="439"/>
      <c r="G166" s="439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</row>
    <row r="167" spans="1:17" ht="12">
      <c r="A167" s="439"/>
      <c r="B167" s="439"/>
      <c r="C167" s="439"/>
      <c r="D167" s="439"/>
      <c r="E167" s="439"/>
      <c r="F167" s="439"/>
      <c r="G167" s="439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</row>
    <row r="168" spans="1:17" ht="12">
      <c r="A168" s="439"/>
      <c r="B168" s="439"/>
      <c r="C168" s="439"/>
      <c r="D168" s="439"/>
      <c r="E168" s="439"/>
      <c r="F168" s="439"/>
      <c r="G168" s="439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</row>
    <row r="169" spans="1:17" ht="12">
      <c r="A169" s="439"/>
      <c r="B169" s="439"/>
      <c r="C169" s="439"/>
      <c r="D169" s="439"/>
      <c r="E169" s="439"/>
      <c r="F169" s="439"/>
      <c r="G169" s="43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</row>
    <row r="170" spans="1:17" ht="12">
      <c r="A170" s="439"/>
      <c r="B170" s="439"/>
      <c r="C170" s="439"/>
      <c r="D170" s="439"/>
      <c r="E170" s="439"/>
      <c r="F170" s="439"/>
      <c r="G170" s="439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</row>
    <row r="171" spans="1:17" ht="12">
      <c r="A171" s="439"/>
      <c r="B171" s="439"/>
      <c r="C171" s="439"/>
      <c r="D171" s="439"/>
      <c r="E171" s="439"/>
      <c r="F171" s="439"/>
      <c r="G171" s="439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</row>
    <row r="172" spans="1:17" ht="12">
      <c r="A172" s="439"/>
      <c r="B172" s="439"/>
      <c r="C172" s="439"/>
      <c r="D172" s="439"/>
      <c r="E172" s="439"/>
      <c r="F172" s="439"/>
      <c r="G172" s="439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</row>
    <row r="173" spans="1:17" ht="12">
      <c r="A173" s="439"/>
      <c r="B173" s="439"/>
      <c r="C173" s="439"/>
      <c r="D173" s="439"/>
      <c r="E173" s="439"/>
      <c r="F173" s="439"/>
      <c r="G173" s="439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</row>
    <row r="174" spans="1:17" ht="12">
      <c r="A174" s="439"/>
      <c r="B174" s="439"/>
      <c r="C174" s="439"/>
      <c r="D174" s="439"/>
      <c r="E174" s="439"/>
      <c r="F174" s="439"/>
      <c r="G174" s="439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</row>
    <row r="175" spans="1:17" ht="12">
      <c r="A175" s="439"/>
      <c r="B175" s="439"/>
      <c r="C175" s="439"/>
      <c r="D175" s="439"/>
      <c r="E175" s="439"/>
      <c r="F175" s="439"/>
      <c r="G175" s="439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</row>
    <row r="176" spans="1:17" ht="12">
      <c r="A176" s="439"/>
      <c r="B176" s="439"/>
      <c r="C176" s="439"/>
      <c r="D176" s="439"/>
      <c r="E176" s="439"/>
      <c r="F176" s="439"/>
      <c r="G176" s="439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</row>
    <row r="177" spans="1:17" ht="12">
      <c r="A177" s="439"/>
      <c r="B177" s="439"/>
      <c r="C177" s="439"/>
      <c r="D177" s="439"/>
      <c r="E177" s="439"/>
      <c r="F177" s="439"/>
      <c r="G177" s="439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</row>
    <row r="178" spans="1:17" ht="12">
      <c r="A178" s="439"/>
      <c r="B178" s="439"/>
      <c r="C178" s="439"/>
      <c r="D178" s="439"/>
      <c r="E178" s="439"/>
      <c r="F178" s="439"/>
      <c r="G178" s="439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</row>
    <row r="179" spans="1:17" ht="12">
      <c r="A179" s="439"/>
      <c r="B179" s="439"/>
      <c r="C179" s="439"/>
      <c r="D179" s="439"/>
      <c r="E179" s="439"/>
      <c r="F179" s="439"/>
      <c r="G179" s="43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</row>
    <row r="180" spans="1:17" ht="12">
      <c r="A180" s="439"/>
      <c r="B180" s="439"/>
      <c r="C180" s="439"/>
      <c r="D180" s="439"/>
      <c r="E180" s="439"/>
      <c r="F180" s="439"/>
      <c r="G180" s="439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</row>
    <row r="181" spans="1:17" ht="12">
      <c r="A181" s="439"/>
      <c r="B181" s="439"/>
      <c r="C181" s="439"/>
      <c r="D181" s="439"/>
      <c r="E181" s="439"/>
      <c r="F181" s="439"/>
      <c r="G181" s="439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</row>
    <row r="182" spans="1:17" ht="12">
      <c r="A182" s="439"/>
      <c r="B182" s="439"/>
      <c r="C182" s="439"/>
      <c r="D182" s="439"/>
      <c r="E182" s="439"/>
      <c r="F182" s="439"/>
      <c r="G182" s="439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</row>
    <row r="183" spans="1:17" ht="12">
      <c r="A183" s="439"/>
      <c r="B183" s="439"/>
      <c r="C183" s="439"/>
      <c r="D183" s="439"/>
      <c r="E183" s="439"/>
      <c r="F183" s="439"/>
      <c r="G183" s="439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</row>
    <row r="184" spans="1:17" ht="12">
      <c r="A184" s="439"/>
      <c r="B184" s="439"/>
      <c r="C184" s="439"/>
      <c r="D184" s="439"/>
      <c r="E184" s="439"/>
      <c r="F184" s="439"/>
      <c r="G184" s="439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</row>
    <row r="185" spans="1:17" ht="12">
      <c r="A185" s="439"/>
      <c r="B185" s="439"/>
      <c r="C185" s="439"/>
      <c r="D185" s="439"/>
      <c r="E185" s="439"/>
      <c r="F185" s="439"/>
      <c r="G185" s="439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</row>
    <row r="186" spans="1:17" ht="12">
      <c r="A186" s="439"/>
      <c r="B186" s="439"/>
      <c r="C186" s="439"/>
      <c r="D186" s="439"/>
      <c r="E186" s="439"/>
      <c r="F186" s="439"/>
      <c r="G186" s="439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</row>
    <row r="187" spans="1:17" ht="12">
      <c r="A187" s="439"/>
      <c r="B187" s="439"/>
      <c r="C187" s="439"/>
      <c r="D187" s="439"/>
      <c r="E187" s="439"/>
      <c r="F187" s="439"/>
      <c r="G187" s="439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</row>
    <row r="188" spans="1:17" ht="12">
      <c r="A188" s="439"/>
      <c r="B188" s="439"/>
      <c r="C188" s="439"/>
      <c r="D188" s="439"/>
      <c r="E188" s="439"/>
      <c r="F188" s="439"/>
      <c r="G188" s="439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</row>
    <row r="189" spans="1:17" ht="12">
      <c r="A189" s="439"/>
      <c r="B189" s="439"/>
      <c r="C189" s="439"/>
      <c r="D189" s="439"/>
      <c r="E189" s="439"/>
      <c r="F189" s="439"/>
      <c r="G189" s="43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</row>
    <row r="190" spans="1:17" ht="12">
      <c r="A190" s="439"/>
      <c r="B190" s="439"/>
      <c r="C190" s="439"/>
      <c r="D190" s="439"/>
      <c r="E190" s="439"/>
      <c r="F190" s="439"/>
      <c r="G190" s="439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</row>
    <row r="191" spans="1:17" ht="12">
      <c r="A191" s="439"/>
      <c r="B191" s="439"/>
      <c r="C191" s="439"/>
      <c r="D191" s="439"/>
      <c r="E191" s="439"/>
      <c r="F191" s="439"/>
      <c r="G191" s="439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</row>
    <row r="192" spans="1:17" ht="12">
      <c r="A192" s="439"/>
      <c r="B192" s="439"/>
      <c r="C192" s="439"/>
      <c r="D192" s="439"/>
      <c r="E192" s="439"/>
      <c r="F192" s="439"/>
      <c r="G192" s="439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</row>
    <row r="193" spans="1:17" ht="12">
      <c r="A193" s="439"/>
      <c r="B193" s="439"/>
      <c r="C193" s="439"/>
      <c r="D193" s="439"/>
      <c r="E193" s="439"/>
      <c r="F193" s="439"/>
      <c r="G193" s="439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</row>
    <row r="194" spans="1:17" ht="12">
      <c r="A194" s="439"/>
      <c r="B194" s="439"/>
      <c r="C194" s="439"/>
      <c r="D194" s="439"/>
      <c r="E194" s="439"/>
      <c r="F194" s="439"/>
      <c r="G194" s="439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</row>
    <row r="195" spans="1:17" ht="12">
      <c r="A195" s="439"/>
      <c r="B195" s="439"/>
      <c r="C195" s="439"/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</row>
    <row r="196" spans="1:17" ht="12">
      <c r="A196" s="439"/>
      <c r="B196" s="439"/>
      <c r="C196" s="439"/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</row>
    <row r="197" spans="1:17" ht="12">
      <c r="A197" s="439"/>
      <c r="B197" s="439"/>
      <c r="C197" s="439"/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</row>
    <row r="198" spans="1:17" ht="12">
      <c r="A198" s="439"/>
      <c r="B198" s="439"/>
      <c r="C198" s="439"/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</row>
    <row r="199" spans="1:17" ht="12">
      <c r="A199" s="439"/>
      <c r="B199" s="439"/>
      <c r="C199" s="439"/>
      <c r="D199" s="439"/>
      <c r="E199" s="439"/>
      <c r="F199" s="439"/>
      <c r="G199" s="43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</row>
    <row r="200" spans="1:17" ht="12">
      <c r="A200" s="439"/>
      <c r="B200" s="439"/>
      <c r="C200" s="439"/>
      <c r="D200" s="439"/>
      <c r="E200" s="439"/>
      <c r="F200" s="439"/>
      <c r="G200" s="439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</row>
    <row r="201" spans="1:17" ht="12">
      <c r="A201" s="439"/>
      <c r="B201" s="439"/>
      <c r="C201" s="439"/>
      <c r="D201" s="439"/>
      <c r="E201" s="439"/>
      <c r="F201" s="439"/>
      <c r="G201" s="439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</row>
    <row r="202" spans="1:17" ht="12">
      <c r="A202" s="439"/>
      <c r="B202" s="439"/>
      <c r="C202" s="439"/>
      <c r="D202" s="439"/>
      <c r="E202" s="439"/>
      <c r="F202" s="439"/>
      <c r="G202" s="439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</row>
    <row r="203" spans="1:17" ht="12">
      <c r="A203" s="439"/>
      <c r="B203" s="439"/>
      <c r="C203" s="439"/>
      <c r="D203" s="439"/>
      <c r="E203" s="439"/>
      <c r="F203" s="439"/>
      <c r="G203" s="439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</row>
    <row r="204" spans="1:17" ht="12">
      <c r="A204" s="439"/>
      <c r="B204" s="439"/>
      <c r="C204" s="439"/>
      <c r="D204" s="439"/>
      <c r="E204" s="439"/>
      <c r="F204" s="439"/>
      <c r="G204" s="439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</row>
    <row r="205" spans="1:17" ht="12">
      <c r="A205" s="439"/>
      <c r="B205" s="439"/>
      <c r="C205" s="439"/>
      <c r="D205" s="439"/>
      <c r="E205" s="439"/>
      <c r="F205" s="439"/>
      <c r="G205" s="439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</row>
    <row r="206" spans="1:17" ht="12">
      <c r="A206" s="439"/>
      <c r="B206" s="439"/>
      <c r="C206" s="439"/>
      <c r="D206" s="439"/>
      <c r="E206" s="439"/>
      <c r="F206" s="439"/>
      <c r="G206" s="439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</row>
    <row r="207" spans="1:17" ht="12">
      <c r="A207" s="439"/>
      <c r="B207" s="439"/>
      <c r="C207" s="439"/>
      <c r="D207" s="439"/>
      <c r="E207" s="439"/>
      <c r="F207" s="439"/>
      <c r="G207" s="439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</row>
    <row r="208" spans="1:17" ht="12">
      <c r="A208" s="439"/>
      <c r="B208" s="439"/>
      <c r="C208" s="439"/>
      <c r="D208" s="439"/>
      <c r="E208" s="439"/>
      <c r="F208" s="439"/>
      <c r="G208" s="439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</row>
    <row r="209" spans="1:17" ht="12">
      <c r="A209" s="439"/>
      <c r="B209" s="439"/>
      <c r="C209" s="439"/>
      <c r="D209" s="439"/>
      <c r="E209" s="439"/>
      <c r="F209" s="439"/>
      <c r="G209" s="43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</row>
    <row r="210" spans="1:17" ht="12">
      <c r="A210" s="439"/>
      <c r="B210" s="439"/>
      <c r="C210" s="439"/>
      <c r="D210" s="439"/>
      <c r="E210" s="439"/>
      <c r="F210" s="439"/>
      <c r="G210" s="439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</row>
    <row r="211" spans="1:17" ht="12">
      <c r="A211" s="439"/>
      <c r="B211" s="439"/>
      <c r="C211" s="439"/>
      <c r="D211" s="439"/>
      <c r="E211" s="439"/>
      <c r="F211" s="439"/>
      <c r="G211" s="439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</row>
    <row r="212" spans="1:17" ht="12">
      <c r="A212" s="439"/>
      <c r="B212" s="439"/>
      <c r="C212" s="439"/>
      <c r="D212" s="439"/>
      <c r="E212" s="439"/>
      <c r="F212" s="439"/>
      <c r="G212" s="439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</row>
    <row r="213" spans="12:16" ht="12">
      <c r="L213" s="439"/>
      <c r="M213" s="439"/>
      <c r="N213" s="439"/>
      <c r="O213" s="439"/>
      <c r="P213" s="439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5" sqref="C25"/>
    </sheetView>
  </sheetViews>
  <sheetFormatPr defaultColWidth="11.19921875" defaultRowHeight="15"/>
  <cols>
    <col min="1" max="1" width="17.3984375" style="0" bestFit="1" customWidth="1"/>
    <col min="2" max="2" width="20.59765625" style="0" bestFit="1" customWidth="1"/>
    <col min="3" max="4" width="20.59765625" style="0" customWidth="1"/>
    <col min="5" max="5" width="20.59765625" style="0" bestFit="1" customWidth="1"/>
    <col min="6" max="6" width="21.09765625" style="0" customWidth="1"/>
    <col min="7" max="7" width="15.19921875" style="0" customWidth="1"/>
    <col min="8" max="8" width="21.3984375" style="0" customWidth="1"/>
    <col min="9" max="9" width="16.59765625" style="0" customWidth="1"/>
  </cols>
  <sheetData>
    <row r="1" spans="1:9" ht="18">
      <c r="A1" s="578" t="s">
        <v>263</v>
      </c>
      <c r="B1" s="578"/>
      <c r="C1" s="578"/>
      <c r="D1" s="578"/>
      <c r="E1" s="578"/>
      <c r="F1" s="578"/>
      <c r="G1" s="578"/>
      <c r="H1" s="578"/>
      <c r="I1" s="578"/>
    </row>
    <row r="2" spans="1:9" ht="36.75">
      <c r="A2" s="398" t="s">
        <v>238</v>
      </c>
      <c r="B2" s="398" t="s">
        <v>239</v>
      </c>
      <c r="C2" s="398" t="s">
        <v>261</v>
      </c>
      <c r="D2" s="398" t="s">
        <v>239</v>
      </c>
      <c r="E2" s="398" t="s">
        <v>240</v>
      </c>
      <c r="F2" s="399" t="s">
        <v>241</v>
      </c>
      <c r="G2" s="400" t="s">
        <v>260</v>
      </c>
      <c r="H2" s="398" t="s">
        <v>259</v>
      </c>
      <c r="I2" s="400" t="s">
        <v>260</v>
      </c>
    </row>
    <row r="3" spans="1:9" ht="18">
      <c r="A3" s="401"/>
      <c r="B3" s="402" t="s">
        <v>262</v>
      </c>
      <c r="C3" s="402"/>
      <c r="D3" s="402" t="s">
        <v>25</v>
      </c>
      <c r="E3" s="402"/>
      <c r="F3" s="402"/>
      <c r="G3" s="403" t="s">
        <v>9</v>
      </c>
      <c r="H3" s="402"/>
      <c r="I3" s="403" t="s">
        <v>11</v>
      </c>
    </row>
    <row r="4" spans="1:9" ht="18">
      <c r="A4" s="404" t="s">
        <v>252</v>
      </c>
      <c r="B4" s="405"/>
      <c r="C4" s="405"/>
      <c r="D4" s="405"/>
      <c r="E4" s="405"/>
      <c r="F4" s="405"/>
      <c r="G4" s="405"/>
      <c r="H4" s="405"/>
      <c r="I4" s="405"/>
    </row>
    <row r="5" spans="1:9" ht="18">
      <c r="A5" s="406" t="s">
        <v>253</v>
      </c>
      <c r="B5" s="407" t="e">
        <f>#REF!</f>
        <v>#REF!</v>
      </c>
      <c r="C5" s="407"/>
      <c r="D5" s="407" t="e">
        <f>B5-C5</f>
        <v>#REF!</v>
      </c>
      <c r="E5" s="407" t="e">
        <f>#REF!</f>
        <v>#REF!</v>
      </c>
      <c r="F5" s="408" t="e">
        <f>B5-C5-E5</f>
        <v>#REF!</v>
      </c>
      <c r="G5" s="420" t="e">
        <f>E5/B5</f>
        <v>#REF!</v>
      </c>
      <c r="H5" s="407" t="e">
        <f>#REF!</f>
        <v>#REF!</v>
      </c>
      <c r="I5" s="420" t="e">
        <f>H5/B5</f>
        <v>#REF!</v>
      </c>
    </row>
    <row r="6" spans="1:9" ht="18">
      <c r="A6" s="409" t="s">
        <v>254</v>
      </c>
      <c r="B6" s="410" t="e">
        <f>#REF!</f>
        <v>#REF!</v>
      </c>
      <c r="C6" s="410"/>
      <c r="D6" s="410" t="e">
        <f>B6-C6</f>
        <v>#REF!</v>
      </c>
      <c r="E6" s="410" t="e">
        <f>#REF!</f>
        <v>#REF!</v>
      </c>
      <c r="F6" s="427" t="e">
        <f>B6-C6-E6</f>
        <v>#REF!</v>
      </c>
      <c r="G6" s="421" t="e">
        <f>E6/B6</f>
        <v>#REF!</v>
      </c>
      <c r="H6" s="410" t="e">
        <f>#REF!</f>
        <v>#REF!</v>
      </c>
      <c r="I6" s="421" t="e">
        <f>H6/B6</f>
        <v>#REF!</v>
      </c>
    </row>
    <row r="7" spans="1:9" ht="18">
      <c r="A7" s="411" t="s">
        <v>255</v>
      </c>
      <c r="B7" s="412" t="e">
        <f>#REF!</f>
        <v>#REF!</v>
      </c>
      <c r="C7" s="412"/>
      <c r="D7" s="412" t="e">
        <f>B7-C7</f>
        <v>#REF!</v>
      </c>
      <c r="E7" s="412" t="e">
        <f>#REF!</f>
        <v>#REF!</v>
      </c>
      <c r="F7" s="428" t="e">
        <f>B7-C7-E7</f>
        <v>#REF!</v>
      </c>
      <c r="G7" s="422" t="e">
        <f>E7/B7</f>
        <v>#REF!</v>
      </c>
      <c r="H7" s="412" t="e">
        <f>#REF!</f>
        <v>#REF!</v>
      </c>
      <c r="I7" s="422" t="e">
        <f>H7/B7</f>
        <v>#REF!</v>
      </c>
    </row>
    <row r="8" spans="1:9" ht="18">
      <c r="A8" s="413" t="s">
        <v>256</v>
      </c>
      <c r="B8" s="414" t="e">
        <f>SUM(B5:B7)</f>
        <v>#REF!</v>
      </c>
      <c r="C8" s="414"/>
      <c r="D8" s="414" t="e">
        <f>SUM(D5:D7)</f>
        <v>#REF!</v>
      </c>
      <c r="E8" s="414" t="e">
        <f>SUM(E5:E7)</f>
        <v>#REF!</v>
      </c>
      <c r="F8" s="414" t="e">
        <f>SUM(F5:F7)</f>
        <v>#REF!</v>
      </c>
      <c r="G8" s="423" t="e">
        <f>E8/(B8-C7)</f>
        <v>#REF!</v>
      </c>
      <c r="H8" s="414" t="e">
        <f>SUM(H5:H7)</f>
        <v>#REF!</v>
      </c>
      <c r="I8" s="423" t="e">
        <f>H8/(B8-C8)</f>
        <v>#REF!</v>
      </c>
    </row>
    <row r="9" spans="1:9" ht="18">
      <c r="A9" s="415" t="s">
        <v>257</v>
      </c>
      <c r="B9" s="416">
        <f>'[1]SIIF JUNIO '!$S$79</f>
        <v>2456501401000</v>
      </c>
      <c r="C9" s="416">
        <v>57918052955</v>
      </c>
      <c r="D9" s="417">
        <f>B9-C9</f>
        <v>2398583348045</v>
      </c>
      <c r="E9" s="416" t="e">
        <f>#REF!</f>
        <v>#REF!</v>
      </c>
      <c r="F9" s="417" t="e">
        <f>B9-C9-E9</f>
        <v>#REF!</v>
      </c>
      <c r="G9" s="424" t="e">
        <f>E9/(B9-C8)</f>
        <v>#REF!</v>
      </c>
      <c r="H9" s="416" t="e">
        <f>#REF!</f>
        <v>#REF!</v>
      </c>
      <c r="I9" s="424" t="e">
        <f>H9/(B9-C9)</f>
        <v>#REF!</v>
      </c>
    </row>
    <row r="10" spans="1:9" ht="18">
      <c r="A10" s="418" t="s">
        <v>258</v>
      </c>
      <c r="B10" s="419" t="e">
        <f>B8+B9</f>
        <v>#REF!</v>
      </c>
      <c r="C10" s="419">
        <f>C8+C9</f>
        <v>57918052955</v>
      </c>
      <c r="D10" s="430" t="e">
        <f>B10-C10</f>
        <v>#REF!</v>
      </c>
      <c r="E10" s="419" t="e">
        <f>E8+E9</f>
        <v>#REF!</v>
      </c>
      <c r="F10" s="430" t="e">
        <f>F8+F9</f>
        <v>#REF!</v>
      </c>
      <c r="G10" s="425" t="e">
        <f>E10/(B10-C9)</f>
        <v>#REF!</v>
      </c>
      <c r="H10" s="419" t="e">
        <f>H8+H9</f>
        <v>#REF!</v>
      </c>
      <c r="I10" s="425" t="e">
        <f>H10/(B10-C10)</f>
        <v>#REF!</v>
      </c>
    </row>
    <row r="12" ht="12">
      <c r="F12" s="426"/>
    </row>
    <row r="17" ht="12">
      <c r="B17" s="429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K1">
      <selection activeCell="N13" sqref="N13"/>
    </sheetView>
  </sheetViews>
  <sheetFormatPr defaultColWidth="11.19921875" defaultRowHeight="15"/>
  <cols>
    <col min="1" max="1" width="2.09765625" style="0" customWidth="1"/>
    <col min="2" max="2" width="2.69921875" style="0" customWidth="1"/>
    <col min="3" max="3" width="3.3984375" style="0" customWidth="1"/>
    <col min="4" max="4" width="3.8984375" style="0" customWidth="1"/>
    <col min="5" max="5" width="3.59765625" style="0" customWidth="1"/>
    <col min="6" max="6" width="3.19921875" style="0" customWidth="1"/>
    <col min="7" max="7" width="3.09765625" style="0" customWidth="1"/>
    <col min="8" max="8" width="2.69921875" style="0" customWidth="1"/>
    <col min="9" max="9" width="3.3984375" style="0" customWidth="1"/>
    <col min="10" max="10" width="22.59765625" style="0" customWidth="1"/>
    <col min="11" max="11" width="14.3984375" style="0" customWidth="1"/>
    <col min="12" max="12" width="13.19921875" style="0" customWidth="1"/>
    <col min="13" max="13" width="14.59765625" style="0" customWidth="1"/>
    <col min="14" max="14" width="13.59765625" style="0" bestFit="1" customWidth="1"/>
    <col min="15" max="15" width="13.19921875" style="0" bestFit="1" customWidth="1"/>
    <col min="16" max="16" width="14.09765625" style="0" bestFit="1" customWidth="1"/>
    <col min="17" max="17" width="14.69921875" style="0" customWidth="1"/>
  </cols>
  <sheetData>
    <row r="1" spans="1:17" ht="18">
      <c r="A1" s="579" t="s">
        <v>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1"/>
    </row>
    <row r="2" spans="1:17" ht="18">
      <c r="A2" s="574" t="s">
        <v>3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76"/>
    </row>
    <row r="3" spans="1:17" ht="18">
      <c r="A3" s="574" t="s">
        <v>205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76"/>
    </row>
    <row r="4" spans="1:17" ht="18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8"/>
      <c r="M4" s="583" t="s">
        <v>234</v>
      </c>
      <c r="N4" s="583"/>
      <c r="O4" s="583"/>
      <c r="P4" s="583"/>
      <c r="Q4" s="584"/>
    </row>
    <row r="5" spans="1:17" ht="12.75" thickBot="1">
      <c r="A5" s="259"/>
      <c r="B5" s="260"/>
      <c r="C5" s="261"/>
      <c r="D5" s="262"/>
      <c r="E5" s="262"/>
      <c r="F5" s="262"/>
      <c r="G5" s="262"/>
      <c r="H5" s="262"/>
      <c r="I5" s="262"/>
      <c r="J5" s="262"/>
      <c r="K5" s="262"/>
      <c r="L5" s="263"/>
      <c r="M5" s="263"/>
      <c r="N5" s="262"/>
      <c r="O5" s="262"/>
      <c r="P5" s="262"/>
      <c r="Q5" s="264"/>
    </row>
    <row r="6" spans="1:17" ht="16.5" thickBot="1" thickTop="1">
      <c r="A6" s="265"/>
      <c r="B6" s="266"/>
      <c r="C6" s="267" t="s">
        <v>206</v>
      </c>
      <c r="D6" s="268"/>
      <c r="E6" s="266"/>
      <c r="F6" s="266"/>
      <c r="G6" s="266"/>
      <c r="H6" s="266"/>
      <c r="I6" s="266"/>
      <c r="J6" s="269"/>
      <c r="K6" s="269"/>
      <c r="L6" s="269"/>
      <c r="M6" s="269"/>
      <c r="N6" s="269"/>
      <c r="O6" s="269"/>
      <c r="P6" s="269"/>
      <c r="Q6" s="270"/>
    </row>
    <row r="7" spans="1:17" ht="13.5" thickBot="1">
      <c r="A7" s="271"/>
      <c r="B7" s="272" t="s">
        <v>207</v>
      </c>
      <c r="C7" s="273"/>
      <c r="D7" s="273"/>
      <c r="E7" s="273"/>
      <c r="F7" s="273"/>
      <c r="G7" s="273"/>
      <c r="H7" s="274"/>
      <c r="I7" s="275"/>
      <c r="J7" s="276"/>
      <c r="K7" s="277"/>
      <c r="L7" s="277"/>
      <c r="M7" s="277"/>
      <c r="N7" s="277"/>
      <c r="O7" s="278"/>
      <c r="P7" s="278"/>
      <c r="Q7" s="278"/>
    </row>
    <row r="8" spans="1:17" ht="64.5">
      <c r="A8" s="279" t="s">
        <v>15</v>
      </c>
      <c r="B8" s="280" t="s">
        <v>16</v>
      </c>
      <c r="C8" s="281" t="s">
        <v>17</v>
      </c>
      <c r="D8" s="280" t="s">
        <v>18</v>
      </c>
      <c r="E8" s="281" t="s">
        <v>19</v>
      </c>
      <c r="F8" s="280" t="s">
        <v>20</v>
      </c>
      <c r="G8" s="281"/>
      <c r="H8" s="282" t="s">
        <v>22</v>
      </c>
      <c r="I8" s="283" t="s">
        <v>52</v>
      </c>
      <c r="J8" s="284" t="s">
        <v>208</v>
      </c>
      <c r="K8" s="285" t="s">
        <v>209</v>
      </c>
      <c r="L8" s="285" t="s">
        <v>210</v>
      </c>
      <c r="M8" s="285" t="s">
        <v>211</v>
      </c>
      <c r="N8" s="285" t="s">
        <v>227</v>
      </c>
      <c r="O8" s="338" t="s">
        <v>236</v>
      </c>
      <c r="P8" s="338" t="s">
        <v>235</v>
      </c>
      <c r="Q8" s="286" t="s">
        <v>212</v>
      </c>
    </row>
    <row r="9" spans="1:17" ht="13.5" thickBot="1">
      <c r="A9" s="287" t="s">
        <v>40</v>
      </c>
      <c r="B9" s="288" t="s">
        <v>41</v>
      </c>
      <c r="C9" s="289" t="s">
        <v>42</v>
      </c>
      <c r="D9" s="288" t="s">
        <v>43</v>
      </c>
      <c r="E9" s="289" t="s">
        <v>44</v>
      </c>
      <c r="F9" s="288" t="s">
        <v>45</v>
      </c>
      <c r="G9" s="289"/>
      <c r="H9" s="288" t="s">
        <v>41</v>
      </c>
      <c r="I9" s="290" t="s">
        <v>123</v>
      </c>
      <c r="J9" s="291"/>
      <c r="K9" s="292"/>
      <c r="L9" s="292"/>
      <c r="M9" s="292"/>
      <c r="N9" s="292"/>
      <c r="O9" s="293"/>
      <c r="P9" s="293"/>
      <c r="Q9" s="293"/>
    </row>
    <row r="10" spans="1:17" ht="12.75">
      <c r="A10" s="294"/>
      <c r="B10" s="295"/>
      <c r="C10" s="295"/>
      <c r="D10" s="295"/>
      <c r="E10" s="295"/>
      <c r="F10" s="295"/>
      <c r="G10" s="295"/>
      <c r="H10" s="295"/>
      <c r="I10" s="295"/>
      <c r="J10" s="296"/>
      <c r="K10" s="297"/>
      <c r="L10" s="297"/>
      <c r="M10" s="297"/>
      <c r="N10" s="297"/>
      <c r="O10" s="297"/>
      <c r="P10" s="297"/>
      <c r="Q10" s="298"/>
    </row>
    <row r="11" spans="1:17" ht="15">
      <c r="A11" s="299"/>
      <c r="B11" s="300"/>
      <c r="C11" s="301"/>
      <c r="D11" s="301"/>
      <c r="E11" s="302"/>
      <c r="F11" s="302"/>
      <c r="G11" s="302"/>
      <c r="H11" s="301"/>
      <c r="I11" s="301"/>
      <c r="J11" s="303"/>
      <c r="K11" s="304"/>
      <c r="L11" s="304"/>
      <c r="M11" s="304"/>
      <c r="N11" s="305"/>
      <c r="O11" s="336"/>
      <c r="P11" s="336"/>
      <c r="Q11" s="306"/>
    </row>
    <row r="12" spans="1:17" ht="18">
      <c r="A12" s="307"/>
      <c r="B12" s="308"/>
      <c r="C12" s="309"/>
      <c r="D12" s="309"/>
      <c r="E12" s="310"/>
      <c r="F12" s="310"/>
      <c r="G12" s="310"/>
      <c r="H12" s="309"/>
      <c r="I12" s="309"/>
      <c r="J12" s="311" t="s">
        <v>138</v>
      </c>
      <c r="K12" s="312"/>
      <c r="L12" s="312"/>
      <c r="M12" s="312"/>
      <c r="N12" s="312"/>
      <c r="O12" s="312"/>
      <c r="P12" s="337">
        <f>+P33+Q31+P31</f>
        <v>42248573850.46</v>
      </c>
      <c r="Q12" s="313"/>
    </row>
    <row r="13" spans="1:17" ht="54.75" customHeight="1">
      <c r="A13" s="314" t="s">
        <v>40</v>
      </c>
      <c r="B13" s="315" t="s">
        <v>48</v>
      </c>
      <c r="C13" s="316" t="s">
        <v>140</v>
      </c>
      <c r="D13" s="317" t="s">
        <v>139</v>
      </c>
      <c r="E13" s="318" t="s">
        <v>56</v>
      </c>
      <c r="F13" s="318"/>
      <c r="G13" s="318"/>
      <c r="H13" s="319" t="s">
        <v>109</v>
      </c>
      <c r="I13" s="319" t="s">
        <v>52</v>
      </c>
      <c r="J13" s="320" t="s">
        <v>213</v>
      </c>
      <c r="K13" s="321">
        <v>582017158</v>
      </c>
      <c r="L13" s="321"/>
      <c r="M13" s="321">
        <f>K13-L13</f>
        <v>582017158</v>
      </c>
      <c r="N13" s="321">
        <v>172978794</v>
      </c>
      <c r="O13" s="321">
        <v>155274902</v>
      </c>
      <c r="P13" s="321">
        <f>SUM(N13:O13)</f>
        <v>328253696</v>
      </c>
      <c r="Q13" s="322">
        <f>+M13-P13</f>
        <v>253763462</v>
      </c>
    </row>
    <row r="14" spans="1:17" ht="53.25" customHeight="1">
      <c r="A14" s="314" t="s">
        <v>40</v>
      </c>
      <c r="B14" s="315" t="s">
        <v>48</v>
      </c>
      <c r="C14" s="316" t="s">
        <v>178</v>
      </c>
      <c r="D14" s="317" t="s">
        <v>139</v>
      </c>
      <c r="E14" s="318" t="s">
        <v>49</v>
      </c>
      <c r="F14" s="318"/>
      <c r="G14" s="318"/>
      <c r="H14" s="319" t="s">
        <v>109</v>
      </c>
      <c r="I14" s="319" t="s">
        <v>52</v>
      </c>
      <c r="J14" s="320" t="s">
        <v>214</v>
      </c>
      <c r="K14" s="321">
        <v>210943568</v>
      </c>
      <c r="L14" s="323">
        <v>14294824</v>
      </c>
      <c r="M14" s="321">
        <f aca="true" t="shared" si="0" ref="M14:M30">K14-L14</f>
        <v>196648744</v>
      </c>
      <c r="N14" s="321">
        <v>18341340</v>
      </c>
      <c r="O14" s="321">
        <v>12177072</v>
      </c>
      <c r="P14" s="321">
        <f>SUM(N14:O14)</f>
        <v>30518412</v>
      </c>
      <c r="Q14" s="322">
        <f aca="true" t="shared" si="1" ref="Q14:Q30">+M14-N14-O14</f>
        <v>166130332</v>
      </c>
    </row>
    <row r="15" spans="1:17" ht="53.25" customHeight="1">
      <c r="A15" s="314" t="s">
        <v>40</v>
      </c>
      <c r="B15" s="315" t="s">
        <v>48</v>
      </c>
      <c r="C15" s="316" t="s">
        <v>178</v>
      </c>
      <c r="D15" s="317" t="s">
        <v>139</v>
      </c>
      <c r="E15" s="318" t="s">
        <v>56</v>
      </c>
      <c r="F15" s="318"/>
      <c r="G15" s="318"/>
      <c r="H15" s="319" t="s">
        <v>109</v>
      </c>
      <c r="I15" s="319" t="s">
        <v>52</v>
      </c>
      <c r="J15" s="320" t="s">
        <v>228</v>
      </c>
      <c r="K15" s="321">
        <v>23436666</v>
      </c>
      <c r="L15" s="323"/>
      <c r="M15" s="321">
        <f t="shared" si="0"/>
        <v>23436666</v>
      </c>
      <c r="N15" s="321">
        <v>23436666</v>
      </c>
      <c r="O15" s="321"/>
      <c r="P15" s="321">
        <f>SUM(N15:O15)</f>
        <v>23436666</v>
      </c>
      <c r="Q15" s="322">
        <f t="shared" si="1"/>
        <v>0</v>
      </c>
    </row>
    <row r="16" spans="1:17" ht="40.5">
      <c r="A16" s="314" t="s">
        <v>40</v>
      </c>
      <c r="B16" s="315" t="s">
        <v>48</v>
      </c>
      <c r="C16" s="316" t="s">
        <v>141</v>
      </c>
      <c r="D16" s="317" t="s">
        <v>142</v>
      </c>
      <c r="E16" s="318" t="s">
        <v>49</v>
      </c>
      <c r="F16" s="318"/>
      <c r="G16" s="318"/>
      <c r="H16" s="319" t="s">
        <v>109</v>
      </c>
      <c r="I16" s="319" t="s">
        <v>52</v>
      </c>
      <c r="J16" s="320" t="s">
        <v>215</v>
      </c>
      <c r="K16" s="321">
        <v>61402656</v>
      </c>
      <c r="L16" s="323"/>
      <c r="M16" s="321">
        <f t="shared" si="0"/>
        <v>61402656</v>
      </c>
      <c r="N16" s="321">
        <v>4500000</v>
      </c>
      <c r="O16" s="321"/>
      <c r="P16" s="321">
        <f aca="true" t="shared" si="2" ref="P16:P30">SUM(N16:O16)</f>
        <v>4500000</v>
      </c>
      <c r="Q16" s="322">
        <f t="shared" si="1"/>
        <v>56902656</v>
      </c>
    </row>
    <row r="17" spans="1:17" ht="30">
      <c r="A17" s="314" t="s">
        <v>40</v>
      </c>
      <c r="B17" s="315" t="s">
        <v>48</v>
      </c>
      <c r="C17" s="316" t="s">
        <v>141</v>
      </c>
      <c r="D17" s="317" t="s">
        <v>177</v>
      </c>
      <c r="E17" s="318" t="s">
        <v>49</v>
      </c>
      <c r="F17" s="318"/>
      <c r="G17" s="318"/>
      <c r="H17" s="319" t="s">
        <v>109</v>
      </c>
      <c r="I17" s="319" t="s">
        <v>52</v>
      </c>
      <c r="J17" s="320" t="s">
        <v>162</v>
      </c>
      <c r="K17" s="321">
        <v>4600000</v>
      </c>
      <c r="L17" s="323"/>
      <c r="M17" s="321">
        <f t="shared" si="0"/>
        <v>4600000</v>
      </c>
      <c r="N17" s="321">
        <f>+K17</f>
        <v>4600000</v>
      </c>
      <c r="O17" s="321"/>
      <c r="P17" s="321">
        <f t="shared" si="2"/>
        <v>4600000</v>
      </c>
      <c r="Q17" s="322">
        <f t="shared" si="1"/>
        <v>0</v>
      </c>
    </row>
    <row r="18" spans="1:17" ht="57" customHeight="1">
      <c r="A18" s="314" t="s">
        <v>40</v>
      </c>
      <c r="B18" s="315" t="s">
        <v>48</v>
      </c>
      <c r="C18" s="316" t="s">
        <v>141</v>
      </c>
      <c r="D18" s="317" t="s">
        <v>177</v>
      </c>
      <c r="E18" s="318" t="s">
        <v>56</v>
      </c>
      <c r="F18" s="318"/>
      <c r="G18" s="318"/>
      <c r="H18" s="319" t="s">
        <v>109</v>
      </c>
      <c r="I18" s="319" t="s">
        <v>52</v>
      </c>
      <c r="J18" s="320" t="s">
        <v>216</v>
      </c>
      <c r="K18" s="321">
        <v>287600000</v>
      </c>
      <c r="L18" s="323"/>
      <c r="M18" s="321">
        <f t="shared" si="0"/>
        <v>287600000</v>
      </c>
      <c r="N18" s="321">
        <v>185000000</v>
      </c>
      <c r="O18" s="321"/>
      <c r="P18" s="321">
        <f t="shared" si="2"/>
        <v>185000000</v>
      </c>
      <c r="Q18" s="322">
        <f t="shared" si="1"/>
        <v>102600000</v>
      </c>
    </row>
    <row r="19" spans="1:17" ht="40.5">
      <c r="A19" s="314" t="s">
        <v>40</v>
      </c>
      <c r="B19" s="315" t="s">
        <v>48</v>
      </c>
      <c r="C19" s="316" t="s">
        <v>179</v>
      </c>
      <c r="D19" s="317" t="s">
        <v>177</v>
      </c>
      <c r="E19" s="318" t="s">
        <v>49</v>
      </c>
      <c r="F19" s="318"/>
      <c r="G19" s="318"/>
      <c r="H19" s="319" t="s">
        <v>109</v>
      </c>
      <c r="I19" s="319" t="s">
        <v>52</v>
      </c>
      <c r="J19" s="320" t="s">
        <v>217</v>
      </c>
      <c r="K19" s="321">
        <v>4200000</v>
      </c>
      <c r="L19" s="323"/>
      <c r="M19" s="321">
        <f t="shared" si="0"/>
        <v>4200000</v>
      </c>
      <c r="N19" s="321">
        <f>+M19</f>
        <v>4200000</v>
      </c>
      <c r="O19" s="321"/>
      <c r="P19" s="321">
        <f t="shared" si="2"/>
        <v>4200000</v>
      </c>
      <c r="Q19" s="322">
        <f t="shared" si="1"/>
        <v>0</v>
      </c>
    </row>
    <row r="20" spans="1:17" ht="53.25" customHeight="1">
      <c r="A20" s="314" t="s">
        <v>40</v>
      </c>
      <c r="B20" s="315" t="s">
        <v>48</v>
      </c>
      <c r="C20" s="316" t="s">
        <v>179</v>
      </c>
      <c r="D20" s="317" t="s">
        <v>177</v>
      </c>
      <c r="E20" s="318" t="s">
        <v>56</v>
      </c>
      <c r="F20" s="318"/>
      <c r="G20" s="318"/>
      <c r="H20" s="319" t="s">
        <v>109</v>
      </c>
      <c r="I20" s="319" t="s">
        <v>52</v>
      </c>
      <c r="J20" s="320" t="s">
        <v>218</v>
      </c>
      <c r="K20" s="321">
        <v>65709000</v>
      </c>
      <c r="L20" s="323">
        <v>7199250</v>
      </c>
      <c r="M20" s="321">
        <f t="shared" si="0"/>
        <v>58509750</v>
      </c>
      <c r="N20" s="321"/>
      <c r="O20" s="321">
        <v>22950750</v>
      </c>
      <c r="P20" s="321">
        <f t="shared" si="2"/>
        <v>22950750</v>
      </c>
      <c r="Q20" s="322">
        <f t="shared" si="1"/>
        <v>35559000</v>
      </c>
    </row>
    <row r="21" spans="1:17" ht="59.25" customHeight="1">
      <c r="A21" s="314" t="s">
        <v>40</v>
      </c>
      <c r="B21" s="315" t="s">
        <v>48</v>
      </c>
      <c r="C21" s="316" t="s">
        <v>179</v>
      </c>
      <c r="D21" s="317" t="s">
        <v>177</v>
      </c>
      <c r="E21" s="318" t="s">
        <v>88</v>
      </c>
      <c r="F21" s="318"/>
      <c r="G21" s="318"/>
      <c r="H21" s="319" t="s">
        <v>109</v>
      </c>
      <c r="I21" s="319" t="s">
        <v>52</v>
      </c>
      <c r="J21" s="320" t="s">
        <v>229</v>
      </c>
      <c r="K21" s="321">
        <v>839999997</v>
      </c>
      <c r="L21" s="323"/>
      <c r="M21" s="321">
        <f t="shared" si="0"/>
        <v>839999997</v>
      </c>
      <c r="N21" s="321"/>
      <c r="O21" s="321"/>
      <c r="P21" s="321">
        <f t="shared" si="2"/>
        <v>0</v>
      </c>
      <c r="Q21" s="322">
        <f t="shared" si="1"/>
        <v>839999997</v>
      </c>
    </row>
    <row r="22" spans="1:17" ht="48.75" customHeight="1">
      <c r="A22" s="314" t="s">
        <v>40</v>
      </c>
      <c r="B22" s="315" t="s">
        <v>48</v>
      </c>
      <c r="C22" s="316" t="s">
        <v>219</v>
      </c>
      <c r="D22" s="317" t="s">
        <v>175</v>
      </c>
      <c r="E22" s="318" t="s">
        <v>49</v>
      </c>
      <c r="F22" s="318"/>
      <c r="G22" s="318"/>
      <c r="H22" s="319" t="s">
        <v>109</v>
      </c>
      <c r="I22" s="319" t="s">
        <v>52</v>
      </c>
      <c r="J22" s="320" t="s">
        <v>220</v>
      </c>
      <c r="K22" s="321">
        <v>333199999.96</v>
      </c>
      <c r="L22" s="323"/>
      <c r="M22" s="321">
        <f t="shared" si="0"/>
        <v>333199999.96</v>
      </c>
      <c r="N22" s="321"/>
      <c r="O22" s="321">
        <v>142800000</v>
      </c>
      <c r="P22" s="321">
        <f t="shared" si="2"/>
        <v>142800000</v>
      </c>
      <c r="Q22" s="322">
        <f t="shared" si="1"/>
        <v>190399999.95999998</v>
      </c>
    </row>
    <row r="23" spans="1:17" ht="56.25" customHeight="1">
      <c r="A23" s="314" t="s">
        <v>40</v>
      </c>
      <c r="B23" s="315" t="s">
        <v>48</v>
      </c>
      <c r="C23" s="316" t="s">
        <v>144</v>
      </c>
      <c r="D23" s="317" t="s">
        <v>139</v>
      </c>
      <c r="E23" s="318" t="s">
        <v>74</v>
      </c>
      <c r="F23" s="318"/>
      <c r="G23" s="318"/>
      <c r="H23" s="319" t="s">
        <v>109</v>
      </c>
      <c r="I23" s="319" t="s">
        <v>52</v>
      </c>
      <c r="J23" s="320" t="s">
        <v>221</v>
      </c>
      <c r="K23" s="321">
        <v>36500000</v>
      </c>
      <c r="L23" s="323"/>
      <c r="M23" s="321">
        <f t="shared" si="0"/>
        <v>36500000</v>
      </c>
      <c r="N23" s="321">
        <v>30100000</v>
      </c>
      <c r="O23" s="321">
        <v>6400000</v>
      </c>
      <c r="P23" s="321">
        <f t="shared" si="2"/>
        <v>36500000</v>
      </c>
      <c r="Q23" s="322">
        <f t="shared" si="1"/>
        <v>0</v>
      </c>
    </row>
    <row r="24" spans="1:17" ht="70.5" customHeight="1">
      <c r="A24" s="314" t="s">
        <v>40</v>
      </c>
      <c r="B24" s="315" t="s">
        <v>48</v>
      </c>
      <c r="C24" s="316" t="s">
        <v>144</v>
      </c>
      <c r="D24" s="317" t="s">
        <v>139</v>
      </c>
      <c r="E24" s="318" t="s">
        <v>181</v>
      </c>
      <c r="F24" s="318"/>
      <c r="G24" s="318"/>
      <c r="H24" s="319" t="s">
        <v>109</v>
      </c>
      <c r="I24" s="319" t="s">
        <v>52</v>
      </c>
      <c r="J24" s="320" t="s">
        <v>230</v>
      </c>
      <c r="K24" s="321">
        <v>3867300</v>
      </c>
      <c r="L24" s="323"/>
      <c r="M24" s="321">
        <f t="shared" si="0"/>
        <v>3867300</v>
      </c>
      <c r="N24" s="321">
        <v>3867300</v>
      </c>
      <c r="O24" s="321"/>
      <c r="P24" s="321">
        <f t="shared" si="2"/>
        <v>3867300</v>
      </c>
      <c r="Q24" s="322">
        <f t="shared" si="1"/>
        <v>0</v>
      </c>
    </row>
    <row r="25" spans="1:17" ht="40.5">
      <c r="A25" s="314" t="s">
        <v>40</v>
      </c>
      <c r="B25" s="324" t="s">
        <v>48</v>
      </c>
      <c r="C25" s="325" t="s">
        <v>144</v>
      </c>
      <c r="D25" s="326" t="s">
        <v>143</v>
      </c>
      <c r="E25" s="327" t="s">
        <v>49</v>
      </c>
      <c r="F25" s="327"/>
      <c r="G25" s="327"/>
      <c r="H25" s="328" t="s">
        <v>109</v>
      </c>
      <c r="I25" s="328" t="s">
        <v>52</v>
      </c>
      <c r="J25" s="320" t="s">
        <v>222</v>
      </c>
      <c r="K25" s="321">
        <v>282354951.75</v>
      </c>
      <c r="L25" s="323"/>
      <c r="M25" s="321">
        <f t="shared" si="0"/>
        <v>282354951.75</v>
      </c>
      <c r="N25" s="321"/>
      <c r="O25" s="321"/>
      <c r="P25" s="321">
        <f t="shared" si="2"/>
        <v>0</v>
      </c>
      <c r="Q25" s="322">
        <f t="shared" si="1"/>
        <v>282354951.75</v>
      </c>
    </row>
    <row r="26" spans="1:17" ht="31.5" customHeight="1">
      <c r="A26" s="314" t="s">
        <v>40</v>
      </c>
      <c r="B26" s="324" t="s">
        <v>48</v>
      </c>
      <c r="C26" s="325" t="s">
        <v>184</v>
      </c>
      <c r="D26" s="326" t="s">
        <v>177</v>
      </c>
      <c r="E26" s="327" t="s">
        <v>49</v>
      </c>
      <c r="F26" s="327"/>
      <c r="G26" s="327"/>
      <c r="H26" s="328" t="s">
        <v>109</v>
      </c>
      <c r="I26" s="328" t="s">
        <v>52</v>
      </c>
      <c r="J26" s="320" t="s">
        <v>231</v>
      </c>
      <c r="K26" s="321">
        <v>26748365</v>
      </c>
      <c r="L26" s="323"/>
      <c r="M26" s="321">
        <f t="shared" si="0"/>
        <v>26748365</v>
      </c>
      <c r="N26" s="321">
        <v>20466666</v>
      </c>
      <c r="O26" s="321">
        <v>5000000</v>
      </c>
      <c r="P26" s="321">
        <f t="shared" si="2"/>
        <v>25466666</v>
      </c>
      <c r="Q26" s="322">
        <f t="shared" si="1"/>
        <v>1281699</v>
      </c>
    </row>
    <row r="27" spans="1:17" ht="51">
      <c r="A27" s="314" t="s">
        <v>40</v>
      </c>
      <c r="B27" s="324" t="s">
        <v>48</v>
      </c>
      <c r="C27" s="325" t="s">
        <v>148</v>
      </c>
      <c r="D27" s="326" t="s">
        <v>139</v>
      </c>
      <c r="E27" s="327" t="s">
        <v>49</v>
      </c>
      <c r="F27" s="327"/>
      <c r="G27" s="327"/>
      <c r="H27" s="328" t="s">
        <v>74</v>
      </c>
      <c r="I27" s="328" t="s">
        <v>52</v>
      </c>
      <c r="J27" s="320" t="s">
        <v>223</v>
      </c>
      <c r="K27" s="321">
        <v>20072893482</v>
      </c>
      <c r="L27" s="323"/>
      <c r="M27" s="321">
        <f t="shared" si="0"/>
        <v>20072893482</v>
      </c>
      <c r="N27" s="321">
        <v>3631588574</v>
      </c>
      <c r="O27" s="321">
        <v>2805714140</v>
      </c>
      <c r="P27" s="321">
        <f t="shared" si="2"/>
        <v>6437302714</v>
      </c>
      <c r="Q27" s="322">
        <f t="shared" si="1"/>
        <v>13635590768</v>
      </c>
    </row>
    <row r="28" spans="1:17" ht="30" customHeight="1">
      <c r="A28" s="314" t="s">
        <v>40</v>
      </c>
      <c r="B28" s="324" t="s">
        <v>48</v>
      </c>
      <c r="C28" s="325" t="s">
        <v>148</v>
      </c>
      <c r="D28" s="326" t="s">
        <v>139</v>
      </c>
      <c r="E28" s="327" t="s">
        <v>86</v>
      </c>
      <c r="F28" s="327"/>
      <c r="G28" s="327"/>
      <c r="H28" s="328" t="s">
        <v>74</v>
      </c>
      <c r="I28" s="328" t="s">
        <v>52</v>
      </c>
      <c r="J28" s="320" t="s">
        <v>232</v>
      </c>
      <c r="K28" s="321">
        <v>2980213838</v>
      </c>
      <c r="L28" s="323"/>
      <c r="M28" s="321">
        <f t="shared" si="0"/>
        <v>2980213838</v>
      </c>
      <c r="N28" s="321"/>
      <c r="O28" s="321">
        <v>2094197667</v>
      </c>
      <c r="P28" s="321">
        <f t="shared" si="2"/>
        <v>2094197667</v>
      </c>
      <c r="Q28" s="322">
        <f t="shared" si="1"/>
        <v>886016171</v>
      </c>
    </row>
    <row r="29" spans="1:17" ht="49.5" customHeight="1">
      <c r="A29" s="314" t="s">
        <v>40</v>
      </c>
      <c r="B29" s="324" t="s">
        <v>48</v>
      </c>
      <c r="C29" s="325" t="s">
        <v>148</v>
      </c>
      <c r="D29" s="326" t="s">
        <v>139</v>
      </c>
      <c r="E29" s="327" t="s">
        <v>68</v>
      </c>
      <c r="F29" s="327"/>
      <c r="G29" s="327"/>
      <c r="H29" s="328" t="s">
        <v>74</v>
      </c>
      <c r="I29" s="328" t="s">
        <v>52</v>
      </c>
      <c r="J29" s="320" t="s">
        <v>224</v>
      </c>
      <c r="K29" s="321">
        <v>12970578059</v>
      </c>
      <c r="L29" s="323"/>
      <c r="M29" s="321">
        <f t="shared" si="0"/>
        <v>12970578059</v>
      </c>
      <c r="N29" s="321">
        <v>2304813476</v>
      </c>
      <c r="O29" s="321"/>
      <c r="P29" s="321">
        <f t="shared" si="2"/>
        <v>2304813476</v>
      </c>
      <c r="Q29" s="322">
        <f t="shared" si="1"/>
        <v>10665764583</v>
      </c>
    </row>
    <row r="30" spans="1:17" ht="53.25" customHeight="1">
      <c r="A30" s="314" t="s">
        <v>40</v>
      </c>
      <c r="B30" s="324" t="s">
        <v>48</v>
      </c>
      <c r="C30" s="325" t="s">
        <v>148</v>
      </c>
      <c r="D30" s="326" t="s">
        <v>139</v>
      </c>
      <c r="E30" s="327" t="s">
        <v>70</v>
      </c>
      <c r="F30" s="327"/>
      <c r="G30" s="327"/>
      <c r="H30" s="328" t="s">
        <v>74</v>
      </c>
      <c r="I30" s="328" t="s">
        <v>52</v>
      </c>
      <c r="J30" s="320" t="s">
        <v>225</v>
      </c>
      <c r="K30" s="321">
        <v>3483802883.75</v>
      </c>
      <c r="L30" s="323"/>
      <c r="M30" s="321">
        <f t="shared" si="0"/>
        <v>3483802883.75</v>
      </c>
      <c r="N30" s="321">
        <v>612223184</v>
      </c>
      <c r="O30" s="321">
        <v>129308129</v>
      </c>
      <c r="P30" s="321">
        <f t="shared" si="2"/>
        <v>741531313</v>
      </c>
      <c r="Q30" s="322">
        <f t="shared" si="1"/>
        <v>2742271570.75</v>
      </c>
    </row>
    <row r="31" spans="1:17" ht="28.5" customHeight="1">
      <c r="A31" s="329"/>
      <c r="B31" s="330"/>
      <c r="C31" s="331"/>
      <c r="D31" s="331"/>
      <c r="E31" s="332"/>
      <c r="F31" s="332"/>
      <c r="G31" s="332"/>
      <c r="H31" s="331"/>
      <c r="I31" s="331"/>
      <c r="J31" s="333" t="s">
        <v>226</v>
      </c>
      <c r="K31" s="334">
        <f aca="true" t="shared" si="3" ref="K31:Q31">SUM(K13:K30)</f>
        <v>42270067924.46</v>
      </c>
      <c r="L31" s="334">
        <f t="shared" si="3"/>
        <v>21494074</v>
      </c>
      <c r="M31" s="334">
        <f t="shared" si="3"/>
        <v>42248573850.46</v>
      </c>
      <c r="N31" s="334">
        <f t="shared" si="3"/>
        <v>7016116000</v>
      </c>
      <c r="O31" s="334">
        <f t="shared" si="3"/>
        <v>5373822660</v>
      </c>
      <c r="P31" s="334">
        <f t="shared" si="3"/>
        <v>12389938660</v>
      </c>
      <c r="Q31" s="339">
        <f t="shared" si="3"/>
        <v>29858635190.46</v>
      </c>
    </row>
    <row r="33" ht="12">
      <c r="K33" s="335"/>
    </row>
  </sheetData>
  <sheetProtection/>
  <mergeCells count="4">
    <mergeCell ref="A1:Q1"/>
    <mergeCell ref="A2:Q2"/>
    <mergeCell ref="A3:Q3"/>
    <mergeCell ref="M4:Q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23">
      <selection activeCell="C34" sqref="C34"/>
    </sheetView>
  </sheetViews>
  <sheetFormatPr defaultColWidth="11.19921875" defaultRowHeight="15"/>
  <cols>
    <col min="1" max="1" width="24.19921875" style="0" customWidth="1"/>
    <col min="2" max="2" width="20.19921875" style="0" customWidth="1"/>
    <col min="3" max="3" width="19.19921875" style="0" customWidth="1"/>
    <col min="4" max="4" width="18.8984375" style="0" customWidth="1"/>
  </cols>
  <sheetData>
    <row r="1" spans="1:5" ht="18" hidden="1">
      <c r="A1" s="585" t="s">
        <v>247</v>
      </c>
      <c r="B1" s="586"/>
      <c r="C1" s="586"/>
      <c r="D1" s="586"/>
      <c r="E1" s="587"/>
    </row>
    <row r="2" spans="1:5" ht="12.75" hidden="1">
      <c r="A2" s="588" t="s">
        <v>237</v>
      </c>
      <c r="B2" s="589"/>
      <c r="C2" s="589"/>
      <c r="D2" s="589"/>
      <c r="E2" s="590"/>
    </row>
    <row r="3" spans="1:5" ht="12.75" hidden="1" thickBot="1">
      <c r="A3" s="340"/>
      <c r="B3" s="341"/>
      <c r="C3" s="341"/>
      <c r="D3" s="341"/>
      <c r="E3" s="342"/>
    </row>
    <row r="4" spans="1:5" ht="13.5" hidden="1" thickBot="1">
      <c r="A4" s="343" t="s">
        <v>238</v>
      </c>
      <c r="B4" s="343" t="s">
        <v>239</v>
      </c>
      <c r="C4" s="343" t="s">
        <v>240</v>
      </c>
      <c r="D4" s="343" t="s">
        <v>241</v>
      </c>
      <c r="E4" s="343" t="s">
        <v>242</v>
      </c>
    </row>
    <row r="5" spans="1:5" ht="13.5" hidden="1">
      <c r="A5" s="344" t="s">
        <v>47</v>
      </c>
      <c r="B5" s="345">
        <v>21395200000</v>
      </c>
      <c r="C5" s="345">
        <v>4802495178</v>
      </c>
      <c r="D5" s="346">
        <f>+B5-C5</f>
        <v>16592704822</v>
      </c>
      <c r="E5" s="347">
        <f aca="true" t="shared" si="0" ref="E5:E10">+C5/B5</f>
        <v>0.22446601003963507</v>
      </c>
    </row>
    <row r="6" spans="1:5" ht="13.5" hidden="1">
      <c r="A6" s="348" t="s">
        <v>104</v>
      </c>
      <c r="B6" s="349">
        <v>3644500000</v>
      </c>
      <c r="C6" s="349">
        <v>2444884133</v>
      </c>
      <c r="D6" s="350">
        <f>+B6-C6</f>
        <v>1199615867</v>
      </c>
      <c r="E6" s="351">
        <f t="shared" si="0"/>
        <v>0.6708421273151324</v>
      </c>
    </row>
    <row r="7" spans="1:5" ht="14.25" hidden="1" thickBot="1">
      <c r="A7" s="352" t="s">
        <v>243</v>
      </c>
      <c r="B7" s="353">
        <v>25607300000</v>
      </c>
      <c r="C7" s="353">
        <v>2607147068</v>
      </c>
      <c r="D7" s="354">
        <f>+B7-C7</f>
        <v>23000152932</v>
      </c>
      <c r="E7" s="355">
        <f t="shared" si="0"/>
        <v>0.10181264983032182</v>
      </c>
    </row>
    <row r="8" spans="1:5" ht="14.25" hidden="1" thickBot="1">
      <c r="A8" s="356" t="s">
        <v>244</v>
      </c>
      <c r="B8" s="357">
        <f>SUM(B5:B7)</f>
        <v>50647000000</v>
      </c>
      <c r="C8" s="357">
        <f>SUM(C5:C7)</f>
        <v>9854526379</v>
      </c>
      <c r="D8" s="357">
        <f>SUM(D5:D7)</f>
        <v>40792473621</v>
      </c>
      <c r="E8" s="358">
        <f t="shared" si="0"/>
        <v>0.19457275611586075</v>
      </c>
    </row>
    <row r="9" spans="1:5" ht="14.25" hidden="1" thickBot="1">
      <c r="A9" s="359" t="s">
        <v>245</v>
      </c>
      <c r="B9" s="360">
        <v>2587124450000</v>
      </c>
      <c r="C9" s="360">
        <v>559748367727</v>
      </c>
      <c r="D9" s="350">
        <f>+B9-C9</f>
        <v>2027376082273</v>
      </c>
      <c r="E9" s="361">
        <f t="shared" si="0"/>
        <v>0.21635927399124538</v>
      </c>
    </row>
    <row r="10" spans="1:5" ht="14.25" hidden="1" thickBot="1">
      <c r="A10" s="356" t="s">
        <v>246</v>
      </c>
      <c r="B10" s="357">
        <f>+B8+B9</f>
        <v>2637771450000</v>
      </c>
      <c r="C10" s="357">
        <f>+C8+C9</f>
        <v>569602894106</v>
      </c>
      <c r="D10" s="357">
        <f>+D8+D9</f>
        <v>2068168555894</v>
      </c>
      <c r="E10" s="358">
        <f t="shared" si="0"/>
        <v>0.21594095807883584</v>
      </c>
    </row>
    <row r="11" ht="12" hidden="1"/>
    <row r="12" ht="12.75" hidden="1" thickBot="1"/>
    <row r="13" spans="1:5" ht="18" hidden="1">
      <c r="A13" s="585" t="s">
        <v>248</v>
      </c>
      <c r="B13" s="586"/>
      <c r="C13" s="586"/>
      <c r="D13" s="586"/>
      <c r="E13" s="587"/>
    </row>
    <row r="14" spans="1:5" ht="12.75" hidden="1">
      <c r="A14" s="588" t="s">
        <v>237</v>
      </c>
      <c r="B14" s="589"/>
      <c r="C14" s="589"/>
      <c r="D14" s="589"/>
      <c r="E14" s="590"/>
    </row>
    <row r="15" spans="1:5" ht="12.75" hidden="1" thickBot="1">
      <c r="A15" s="340"/>
      <c r="B15" s="341"/>
      <c r="C15" s="341"/>
      <c r="D15" s="341"/>
      <c r="E15" s="342"/>
    </row>
    <row r="16" spans="1:5" ht="13.5" hidden="1" thickBot="1">
      <c r="A16" s="343" t="s">
        <v>238</v>
      </c>
      <c r="B16" s="343" t="s">
        <v>239</v>
      </c>
      <c r="C16" s="343" t="s">
        <v>240</v>
      </c>
      <c r="D16" s="343" t="s">
        <v>241</v>
      </c>
      <c r="E16" s="343" t="s">
        <v>242</v>
      </c>
    </row>
    <row r="17" spans="1:5" ht="13.5" hidden="1">
      <c r="A17" s="344" t="s">
        <v>47</v>
      </c>
      <c r="B17" s="345">
        <v>21395200000</v>
      </c>
      <c r="C17" s="345">
        <v>9295695919</v>
      </c>
      <c r="D17" s="346">
        <f>+B17-C17</f>
        <v>12099504081</v>
      </c>
      <c r="E17" s="347">
        <f aca="true" t="shared" si="1" ref="E17:E22">+C17/B17</f>
        <v>0.43447576648033204</v>
      </c>
    </row>
    <row r="18" spans="1:5" ht="13.5" hidden="1">
      <c r="A18" s="348" t="s">
        <v>104</v>
      </c>
      <c r="B18" s="349">
        <v>3644500000</v>
      </c>
      <c r="C18" s="349">
        <v>2986782046</v>
      </c>
      <c r="D18" s="350">
        <f>+B18-C18</f>
        <v>657717954</v>
      </c>
      <c r="E18" s="351">
        <f t="shared" si="1"/>
        <v>0.8195313612292495</v>
      </c>
    </row>
    <row r="19" spans="1:5" ht="14.25" hidden="1" thickBot="1">
      <c r="A19" s="352" t="s">
        <v>243</v>
      </c>
      <c r="B19" s="353">
        <v>25607300000</v>
      </c>
      <c r="C19" s="353">
        <v>9062323148</v>
      </c>
      <c r="D19" s="354">
        <f>+B19-C19</f>
        <v>16544976852</v>
      </c>
      <c r="E19" s="355">
        <f t="shared" si="1"/>
        <v>0.35389608228903474</v>
      </c>
    </row>
    <row r="20" spans="1:5" ht="14.25" hidden="1" thickBot="1">
      <c r="A20" s="356" t="s">
        <v>244</v>
      </c>
      <c r="B20" s="357">
        <f>SUM(B17:B19)</f>
        <v>50647000000</v>
      </c>
      <c r="C20" s="357">
        <f>SUM(C17:C19)</f>
        <v>21344801113</v>
      </c>
      <c r="D20" s="357">
        <f>SUM(D17:D19)</f>
        <v>29302198887</v>
      </c>
      <c r="E20" s="358">
        <f t="shared" si="1"/>
        <v>0.4214425555906569</v>
      </c>
    </row>
    <row r="21" spans="1:5" ht="14.25" hidden="1" thickBot="1">
      <c r="A21" s="359" t="s">
        <v>245</v>
      </c>
      <c r="B21" s="360">
        <v>2587124450000</v>
      </c>
      <c r="C21" s="360">
        <v>995387657718</v>
      </c>
      <c r="D21" s="350">
        <f>+B21-C21</f>
        <v>1591736792282</v>
      </c>
      <c r="E21" s="361">
        <f t="shared" si="1"/>
        <v>0.3847467243866061</v>
      </c>
    </row>
    <row r="22" spans="1:5" ht="14.25" hidden="1" thickBot="1">
      <c r="A22" s="356" t="s">
        <v>246</v>
      </c>
      <c r="B22" s="357">
        <f>+B20+B21</f>
        <v>2637771450000</v>
      </c>
      <c r="C22" s="357">
        <f>+C20+C21</f>
        <v>1016732458831</v>
      </c>
      <c r="D22" s="357">
        <f>+D20+D21</f>
        <v>1621038991169</v>
      </c>
      <c r="E22" s="358">
        <f t="shared" si="1"/>
        <v>0.38545130922203286</v>
      </c>
    </row>
    <row r="23" ht="12.75" thickBot="1"/>
    <row r="24" spans="1:5" ht="18">
      <c r="A24" s="585" t="s">
        <v>249</v>
      </c>
      <c r="B24" s="586"/>
      <c r="C24" s="586"/>
      <c r="D24" s="586"/>
      <c r="E24" s="587"/>
    </row>
    <row r="25" spans="1:5" ht="12.75">
      <c r="A25" s="588" t="s">
        <v>237</v>
      </c>
      <c r="B25" s="589"/>
      <c r="C25" s="589"/>
      <c r="D25" s="589"/>
      <c r="E25" s="590"/>
    </row>
    <row r="26" spans="1:5" ht="12.75" thickBot="1">
      <c r="A26" s="340"/>
      <c r="B26" s="341"/>
      <c r="C26" s="341"/>
      <c r="D26" s="341"/>
      <c r="E26" s="342"/>
    </row>
    <row r="27" spans="1:5" ht="13.5" thickBot="1">
      <c r="A27" s="343" t="s">
        <v>238</v>
      </c>
      <c r="B27" s="343" t="s">
        <v>239</v>
      </c>
      <c r="C27" s="343" t="s">
        <v>240</v>
      </c>
      <c r="D27" s="343" t="s">
        <v>241</v>
      </c>
      <c r="E27" s="343" t="s">
        <v>242</v>
      </c>
    </row>
    <row r="28" spans="1:5" ht="13.5">
      <c r="A28" s="344" t="s">
        <v>47</v>
      </c>
      <c r="B28" s="345" t="e">
        <f>#REF!</f>
        <v>#REF!</v>
      </c>
      <c r="C28" s="345" t="e">
        <f>#REF!</f>
        <v>#REF!</v>
      </c>
      <c r="D28" s="346" t="e">
        <f>+B28-C28</f>
        <v>#REF!</v>
      </c>
      <c r="E28" s="347" t="e">
        <f aca="true" t="shared" si="2" ref="E28:E33">+C28/B28</f>
        <v>#REF!</v>
      </c>
    </row>
    <row r="29" spans="1:5" ht="13.5">
      <c r="A29" s="348" t="s">
        <v>104</v>
      </c>
      <c r="B29" s="349" t="e">
        <f>#REF!</f>
        <v>#REF!</v>
      </c>
      <c r="C29" s="349" t="e">
        <f>#REF!</f>
        <v>#REF!</v>
      </c>
      <c r="D29" s="350" t="e">
        <f>+B29-C29</f>
        <v>#REF!</v>
      </c>
      <c r="E29" s="351" t="e">
        <f t="shared" si="2"/>
        <v>#REF!</v>
      </c>
    </row>
    <row r="30" spans="1:5" ht="14.25" thickBot="1">
      <c r="A30" s="352" t="s">
        <v>243</v>
      </c>
      <c r="B30" s="353" t="e">
        <f>#REF!</f>
        <v>#REF!</v>
      </c>
      <c r="C30" s="353" t="e">
        <f>#REF!</f>
        <v>#REF!</v>
      </c>
      <c r="D30" s="354" t="e">
        <f>+B30-C30</f>
        <v>#REF!</v>
      </c>
      <c r="E30" s="355" t="e">
        <f t="shared" si="2"/>
        <v>#REF!</v>
      </c>
    </row>
    <row r="31" spans="1:5" ht="14.25" thickBot="1">
      <c r="A31" s="356" t="s">
        <v>244</v>
      </c>
      <c r="B31" s="357" t="e">
        <f>SUM(B28:B30)</f>
        <v>#REF!</v>
      </c>
      <c r="C31" s="357" t="e">
        <f>SUM(C28:C30)</f>
        <v>#REF!</v>
      </c>
      <c r="D31" s="357" t="e">
        <f>SUM(D28:D30)</f>
        <v>#REF!</v>
      </c>
      <c r="E31" s="358" t="e">
        <f t="shared" si="2"/>
        <v>#REF!</v>
      </c>
    </row>
    <row r="32" spans="1:5" ht="14.25" thickBot="1">
      <c r="A32" s="359" t="s">
        <v>245</v>
      </c>
      <c r="B32" s="360" t="e">
        <f>#REF!</f>
        <v>#REF!</v>
      </c>
      <c r="C32" s="360" t="e">
        <f>#REF!</f>
        <v>#REF!</v>
      </c>
      <c r="D32" s="350" t="e">
        <f>+B32-C32</f>
        <v>#REF!</v>
      </c>
      <c r="E32" s="361" t="e">
        <f t="shared" si="2"/>
        <v>#REF!</v>
      </c>
    </row>
    <row r="33" spans="1:5" ht="14.25" thickBot="1">
      <c r="A33" s="356" t="s">
        <v>246</v>
      </c>
      <c r="B33" s="357" t="e">
        <f>+B31+B32</f>
        <v>#REF!</v>
      </c>
      <c r="C33" s="357" t="e">
        <f>+C31+C32</f>
        <v>#REF!</v>
      </c>
      <c r="D33" s="357" t="e">
        <f>+D31+D32</f>
        <v>#REF!</v>
      </c>
      <c r="E33" s="358" t="e">
        <f t="shared" si="2"/>
        <v>#REF!</v>
      </c>
    </row>
  </sheetData>
  <sheetProtection/>
  <mergeCells count="6">
    <mergeCell ref="A1:E1"/>
    <mergeCell ref="A2:E2"/>
    <mergeCell ref="A13:E13"/>
    <mergeCell ref="A14:E14"/>
    <mergeCell ref="A24:E24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509"/>
  <sheetViews>
    <sheetView zoomScale="83" zoomScaleNormal="83" zoomScalePageLayoutView="0" workbookViewId="0" topLeftCell="A2">
      <pane xSplit="1" ySplit="1" topLeftCell="B3" activePane="bottomRight" state="frozen"/>
      <selection pane="topLeft" activeCell="A2" sqref="A2"/>
      <selection pane="topRight" activeCell="K2" sqref="K2"/>
      <selection pane="bottomLeft" activeCell="A13" sqref="A13"/>
      <selection pane="bottomRight" activeCell="Z20" sqref="Z20"/>
    </sheetView>
  </sheetViews>
  <sheetFormatPr defaultColWidth="12.69921875" defaultRowHeight="15"/>
  <cols>
    <col min="1" max="1" width="47.69921875" style="0" customWidth="1"/>
    <col min="2" max="2" width="2.59765625" style="0" hidden="1" customWidth="1"/>
    <col min="3" max="9" width="25.69921875" style="0" hidden="1" customWidth="1"/>
    <col min="10" max="10" width="16.3984375" style="0" hidden="1" customWidth="1"/>
    <col min="11" max="11" width="20.296875" style="0" hidden="1" customWidth="1"/>
    <col min="12" max="12" width="14.69921875" style="0" hidden="1" customWidth="1"/>
    <col min="13" max="13" width="16.296875" style="0" hidden="1" customWidth="1"/>
    <col min="14" max="14" width="1.203125" style="0" hidden="1" customWidth="1"/>
    <col min="15" max="15" width="17" style="0" customWidth="1"/>
    <col min="16" max="16" width="16.296875" style="0" hidden="1" customWidth="1"/>
    <col min="17" max="19" width="18.296875" style="0" hidden="1" customWidth="1"/>
    <col min="20" max="20" width="1.59765625" style="0" hidden="1" customWidth="1"/>
    <col min="21" max="21" width="0.1015625" style="0" hidden="1" customWidth="1"/>
    <col min="22" max="23" width="18.296875" style="0" hidden="1" customWidth="1"/>
    <col min="24" max="24" width="17.3984375" style="0" hidden="1" customWidth="1"/>
    <col min="25" max="25" width="19.69921875" style="0" hidden="1" customWidth="1"/>
    <col min="26" max="26" width="14.8984375" style="0" bestFit="1" customWidth="1"/>
  </cols>
  <sheetData>
    <row r="1" spans="1:23" ht="12.75" hidden="1" thickBot="1">
      <c r="A1" s="5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7" customFormat="1" ht="43.5" customHeight="1" thickBot="1">
      <c r="A2" s="362" t="s">
        <v>251</v>
      </c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 t="s">
        <v>250</v>
      </c>
      <c r="P2" s="166"/>
      <c r="Q2" s="168"/>
      <c r="R2" s="166"/>
      <c r="S2" s="168"/>
      <c r="T2" s="166"/>
      <c r="U2" s="166"/>
      <c r="V2" s="166"/>
      <c r="W2" s="166"/>
      <c r="X2" s="237"/>
      <c r="Y2" s="237"/>
    </row>
    <row r="3" spans="1:25" s="7" customFormat="1" ht="24.75" customHeight="1">
      <c r="A3" s="366" t="s">
        <v>153</v>
      </c>
      <c r="B3" s="367">
        <f>35400000+33100000+241000000</f>
        <v>309500000</v>
      </c>
      <c r="C3" s="368"/>
      <c r="D3" s="368">
        <v>35009621.28</v>
      </c>
      <c r="E3" s="368"/>
      <c r="F3" s="369">
        <v>25945367.2</v>
      </c>
      <c r="G3" s="369">
        <v>4712600</v>
      </c>
      <c r="H3" s="369">
        <v>565000</v>
      </c>
      <c r="I3" s="369">
        <v>1126000</v>
      </c>
      <c r="J3" s="369">
        <v>0</v>
      </c>
      <c r="K3" s="369">
        <v>240162993</v>
      </c>
      <c r="L3" s="369"/>
      <c r="M3" s="369"/>
      <c r="N3" s="369"/>
      <c r="O3" s="396" t="e">
        <f>(#REF!)/1000</f>
        <v>#REF!</v>
      </c>
      <c r="P3" s="382"/>
      <c r="Q3" s="383">
        <f>+D3</f>
        <v>35009621.28</v>
      </c>
      <c r="R3" s="384"/>
      <c r="S3" s="383">
        <f>+F3</f>
        <v>25945367.2</v>
      </c>
      <c r="T3" s="384">
        <f>+G3</f>
        <v>4712600</v>
      </c>
      <c r="U3" s="384">
        <f>+H3</f>
        <v>565000</v>
      </c>
      <c r="V3" s="384">
        <v>1126000</v>
      </c>
      <c r="W3" s="384">
        <v>0</v>
      </c>
      <c r="X3" s="385"/>
      <c r="Y3" s="385"/>
    </row>
    <row r="4" spans="1:25" s="7" customFormat="1" ht="20.25" customHeight="1">
      <c r="A4" s="366" t="s">
        <v>168</v>
      </c>
      <c r="B4" s="367">
        <f>150000000-94100000-50000000+5000000</f>
        <v>10900000</v>
      </c>
      <c r="C4" s="370"/>
      <c r="D4" s="370"/>
      <c r="E4" s="370"/>
      <c r="F4" s="370"/>
      <c r="G4" s="371">
        <v>1007437</v>
      </c>
      <c r="H4" s="371"/>
      <c r="I4" s="371">
        <v>0</v>
      </c>
      <c r="J4" s="371">
        <v>0</v>
      </c>
      <c r="K4" s="371">
        <v>0</v>
      </c>
      <c r="L4" s="371"/>
      <c r="M4" s="371"/>
      <c r="N4" s="371"/>
      <c r="O4" s="396" t="e">
        <f>(#REF!)/1000</f>
        <v>#REF!</v>
      </c>
      <c r="P4" s="386"/>
      <c r="Q4" s="383"/>
      <c r="R4" s="383"/>
      <c r="S4" s="383"/>
      <c r="T4" s="383"/>
      <c r="U4" s="383"/>
      <c r="V4" s="383">
        <v>1007437</v>
      </c>
      <c r="W4" s="383">
        <v>0</v>
      </c>
      <c r="X4" s="385"/>
      <c r="Y4" s="385"/>
    </row>
    <row r="5" spans="1:25" s="7" customFormat="1" ht="21.75" customHeight="1">
      <c r="A5" s="366" t="s">
        <v>108</v>
      </c>
      <c r="B5" s="367">
        <v>10000000</v>
      </c>
      <c r="C5" s="370">
        <v>500000</v>
      </c>
      <c r="D5" s="370"/>
      <c r="E5" s="370"/>
      <c r="F5" s="368"/>
      <c r="G5" s="372">
        <v>7000000</v>
      </c>
      <c r="H5" s="372"/>
      <c r="I5" s="372">
        <v>0</v>
      </c>
      <c r="J5" s="372">
        <v>0</v>
      </c>
      <c r="K5" s="372">
        <v>0</v>
      </c>
      <c r="L5" s="372"/>
      <c r="M5" s="372"/>
      <c r="N5" s="372"/>
      <c r="O5" s="396" t="e">
        <f>(#REF!)/1000</f>
        <v>#REF!</v>
      </c>
      <c r="P5" s="386">
        <v>500000</v>
      </c>
      <c r="Q5" s="383"/>
      <c r="R5" s="383"/>
      <c r="S5" s="383"/>
      <c r="T5" s="383"/>
      <c r="U5" s="383"/>
      <c r="V5" s="383">
        <v>0</v>
      </c>
      <c r="W5" s="383">
        <v>640381</v>
      </c>
      <c r="X5" s="385"/>
      <c r="Y5" s="385"/>
    </row>
    <row r="6" spans="1:25" s="7" customFormat="1" ht="24" customHeight="1">
      <c r="A6" s="366" t="s">
        <v>154</v>
      </c>
      <c r="B6" s="367">
        <f>860000000+90000000+300000000</f>
        <v>1250000000</v>
      </c>
      <c r="C6" s="370">
        <v>546984092.5</v>
      </c>
      <c r="D6" s="370">
        <v>41101981</v>
      </c>
      <c r="E6" s="370">
        <v>26670854.5</v>
      </c>
      <c r="F6" s="370">
        <v>73323950</v>
      </c>
      <c r="G6" s="371">
        <f>98605723.5-564596</f>
        <v>98041127.5</v>
      </c>
      <c r="H6" s="371">
        <v>51744070.5</v>
      </c>
      <c r="I6" s="371">
        <v>51581836.44</v>
      </c>
      <c r="J6" s="371">
        <v>76113773.8</v>
      </c>
      <c r="K6" s="371">
        <v>73233528</v>
      </c>
      <c r="L6" s="371"/>
      <c r="M6" s="371"/>
      <c r="N6" s="371"/>
      <c r="O6" s="396" t="e">
        <f>(#REF!+#REF!)/1000</f>
        <v>#REF!</v>
      </c>
      <c r="P6" s="386">
        <v>39429308.5</v>
      </c>
      <c r="Q6" s="383">
        <f>+D6</f>
        <v>41101981</v>
      </c>
      <c r="R6" s="383">
        <f>+E6</f>
        <v>26670854.5</v>
      </c>
      <c r="S6" s="383">
        <v>133053901</v>
      </c>
      <c r="T6" s="383">
        <v>150755555.5</v>
      </c>
      <c r="U6" s="383">
        <v>133515880.5</v>
      </c>
      <c r="V6" s="383">
        <v>145330549.44</v>
      </c>
      <c r="W6" s="383">
        <v>189042081.8</v>
      </c>
      <c r="X6" s="385"/>
      <c r="Y6" s="385"/>
    </row>
    <row r="7" spans="1:25" s="7" customFormat="1" ht="21" customHeight="1">
      <c r="A7" s="366" t="s">
        <v>110</v>
      </c>
      <c r="B7" s="367">
        <v>10000000</v>
      </c>
      <c r="C7" s="370">
        <v>1000000</v>
      </c>
      <c r="D7" s="370"/>
      <c r="E7" s="370"/>
      <c r="F7" s="370"/>
      <c r="G7" s="371">
        <v>4400</v>
      </c>
      <c r="H7" s="371"/>
      <c r="I7" s="371">
        <v>166800</v>
      </c>
      <c r="J7" s="371">
        <v>0</v>
      </c>
      <c r="K7" s="371">
        <v>11300</v>
      </c>
      <c r="L7" s="371"/>
      <c r="M7" s="371"/>
      <c r="N7" s="371"/>
      <c r="O7" s="396" t="e">
        <f>(#REF!)/1000</f>
        <v>#REF!</v>
      </c>
      <c r="P7" s="386">
        <f>+C7</f>
        <v>1000000</v>
      </c>
      <c r="Q7" s="383"/>
      <c r="R7" s="383"/>
      <c r="S7" s="383"/>
      <c r="T7" s="383">
        <f>+G7</f>
        <v>4400</v>
      </c>
      <c r="U7" s="383"/>
      <c r="V7" s="383">
        <v>166800</v>
      </c>
      <c r="W7" s="383">
        <v>0</v>
      </c>
      <c r="X7" s="385"/>
      <c r="Y7" s="385"/>
    </row>
    <row r="8" spans="1:25" s="7" customFormat="1" ht="20.25" customHeight="1">
      <c r="A8" s="366" t="s">
        <v>111</v>
      </c>
      <c r="B8" s="367">
        <f>10000000-5000000</f>
        <v>5000000</v>
      </c>
      <c r="C8" s="370">
        <v>500000</v>
      </c>
      <c r="D8" s="370">
        <v>1047600</v>
      </c>
      <c r="E8" s="370"/>
      <c r="F8" s="370">
        <v>215000</v>
      </c>
      <c r="G8" s="371"/>
      <c r="H8" s="371"/>
      <c r="I8" s="371">
        <v>379950</v>
      </c>
      <c r="J8" s="371">
        <v>0</v>
      </c>
      <c r="K8" s="371">
        <v>349000</v>
      </c>
      <c r="L8" s="371"/>
      <c r="M8" s="371"/>
      <c r="N8" s="371"/>
      <c r="O8" s="396" t="e">
        <f>(#REF!)/1000</f>
        <v>#REF!</v>
      </c>
      <c r="P8" s="386">
        <f>+C8</f>
        <v>500000</v>
      </c>
      <c r="Q8" s="383"/>
      <c r="R8" s="383"/>
      <c r="S8" s="383">
        <v>1262600</v>
      </c>
      <c r="T8" s="383"/>
      <c r="U8" s="383"/>
      <c r="V8" s="383">
        <v>379950</v>
      </c>
      <c r="W8" s="383">
        <v>0</v>
      </c>
      <c r="X8" s="385"/>
      <c r="Y8" s="385"/>
    </row>
    <row r="9" spans="1:25" s="7" customFormat="1" ht="30.75" customHeight="1">
      <c r="A9" s="366" t="s">
        <v>112</v>
      </c>
      <c r="B9" s="367">
        <f>100000000-5000000</f>
        <v>95000000</v>
      </c>
      <c r="C9" s="373">
        <v>300000</v>
      </c>
      <c r="D9" s="373"/>
      <c r="E9" s="373">
        <v>4030400</v>
      </c>
      <c r="F9" s="373">
        <v>14518661</v>
      </c>
      <c r="G9" s="374">
        <v>72000</v>
      </c>
      <c r="H9" s="374"/>
      <c r="I9" s="374">
        <v>951200</v>
      </c>
      <c r="J9" s="374">
        <v>0</v>
      </c>
      <c r="K9" s="371">
        <v>10620000</v>
      </c>
      <c r="L9" s="374"/>
      <c r="M9" s="374"/>
      <c r="N9" s="374"/>
      <c r="O9" s="396" t="e">
        <f>(#REF!)/1000</f>
        <v>#REF!</v>
      </c>
      <c r="P9" s="386">
        <f>+C9</f>
        <v>300000</v>
      </c>
      <c r="Q9" s="383"/>
      <c r="R9" s="383"/>
      <c r="S9" s="383"/>
      <c r="T9" s="383">
        <v>1374950</v>
      </c>
      <c r="U9" s="383">
        <v>1450000</v>
      </c>
      <c r="V9" s="383">
        <v>1739979</v>
      </c>
      <c r="W9" s="383">
        <v>1966914.5</v>
      </c>
      <c r="X9" s="385"/>
      <c r="Y9" s="385"/>
    </row>
    <row r="10" spans="1:25" s="7" customFormat="1" ht="18" customHeight="1">
      <c r="A10" s="366" t="s">
        <v>113</v>
      </c>
      <c r="B10" s="367">
        <f>500000000-40000000-40000000-12000000</f>
        <v>408000000</v>
      </c>
      <c r="C10" s="373">
        <v>183484000</v>
      </c>
      <c r="D10" s="373"/>
      <c r="E10" s="373">
        <v>520900</v>
      </c>
      <c r="F10" s="373">
        <v>73971849</v>
      </c>
      <c r="G10" s="374">
        <v>26902696</v>
      </c>
      <c r="H10" s="374">
        <v>1211984</v>
      </c>
      <c r="I10" s="374">
        <v>1422978</v>
      </c>
      <c r="J10" s="374">
        <v>70533000</v>
      </c>
      <c r="K10" s="374">
        <v>1904666</v>
      </c>
      <c r="L10" s="374"/>
      <c r="M10" s="374"/>
      <c r="N10" s="374"/>
      <c r="O10" s="396" t="e">
        <f>(#REF!)/1000</f>
        <v>#REF!</v>
      </c>
      <c r="P10" s="386">
        <v>5500000</v>
      </c>
      <c r="Q10" s="383">
        <v>8320971</v>
      </c>
      <c r="R10" s="383">
        <v>9303747</v>
      </c>
      <c r="S10" s="383">
        <v>7987149</v>
      </c>
      <c r="T10" s="383">
        <v>40698633</v>
      </c>
      <c r="U10" s="383">
        <v>24255113</v>
      </c>
      <c r="V10" s="383">
        <v>38540755</v>
      </c>
      <c r="W10" s="383">
        <v>37108765</v>
      </c>
      <c r="X10" s="385"/>
      <c r="Y10" s="385"/>
    </row>
    <row r="11" spans="1:25" s="7" customFormat="1" ht="29.25" customHeight="1">
      <c r="A11" s="366" t="s">
        <v>115</v>
      </c>
      <c r="B11" s="367">
        <f>16600000-7000000</f>
        <v>9600000</v>
      </c>
      <c r="C11" s="373">
        <v>1000000</v>
      </c>
      <c r="D11" s="373"/>
      <c r="E11" s="373"/>
      <c r="F11" s="373">
        <v>194400</v>
      </c>
      <c r="G11" s="374"/>
      <c r="H11" s="374"/>
      <c r="I11" s="374">
        <v>878254</v>
      </c>
      <c r="J11" s="374">
        <v>950600</v>
      </c>
      <c r="K11" s="374">
        <v>132200</v>
      </c>
      <c r="L11" s="374"/>
      <c r="M11" s="374"/>
      <c r="N11" s="374"/>
      <c r="O11" s="396" t="e">
        <f>(#REF!)/1000</f>
        <v>#REF!</v>
      </c>
      <c r="P11" s="386">
        <f>+C11</f>
        <v>1000000</v>
      </c>
      <c r="Q11" s="383"/>
      <c r="R11" s="383"/>
      <c r="S11" s="387">
        <f>+F11</f>
        <v>194400</v>
      </c>
      <c r="T11" s="383"/>
      <c r="U11" s="383"/>
      <c r="V11" s="383">
        <v>878254</v>
      </c>
      <c r="W11" s="383">
        <v>950600</v>
      </c>
      <c r="X11" s="385"/>
      <c r="Y11" s="385"/>
    </row>
    <row r="12" spans="1:25" s="7" customFormat="1" ht="18" customHeight="1">
      <c r="A12" s="366" t="s">
        <v>116</v>
      </c>
      <c r="B12" s="367">
        <f>800000000+60000000+10000000+12000000+13000000</f>
        <v>895000000</v>
      </c>
      <c r="C12" s="373">
        <v>668392067</v>
      </c>
      <c r="D12" s="373">
        <v>65451972</v>
      </c>
      <c r="E12" s="373">
        <v>68596600</v>
      </c>
      <c r="F12" s="373">
        <v>210599</v>
      </c>
      <c r="G12" s="374">
        <v>112000</v>
      </c>
      <c r="H12" s="374"/>
      <c r="I12" s="374">
        <v>18946302</v>
      </c>
      <c r="J12" s="374">
        <v>0</v>
      </c>
      <c r="K12" s="374">
        <v>2232768.7800000003</v>
      </c>
      <c r="L12" s="374"/>
      <c r="M12" s="374"/>
      <c r="N12" s="374"/>
      <c r="O12" s="396" t="e">
        <f>(#REF!)/1000</f>
        <v>#REF!</v>
      </c>
      <c r="P12" s="388">
        <v>1000000</v>
      </c>
      <c r="Q12" s="387"/>
      <c r="R12" s="387">
        <v>127427868.63</v>
      </c>
      <c r="S12" s="387">
        <f>53413303+59490</f>
        <v>53472793</v>
      </c>
      <c r="T12" s="387">
        <v>122292038.5</v>
      </c>
      <c r="U12" s="383">
        <v>24705204</v>
      </c>
      <c r="V12" s="387">
        <v>59855170.25</v>
      </c>
      <c r="W12" s="387">
        <v>66545576.25</v>
      </c>
      <c r="X12" s="385"/>
      <c r="Y12" s="385"/>
    </row>
    <row r="13" spans="1:25" s="7" customFormat="1" ht="20.25" customHeight="1">
      <c r="A13" s="366" t="s">
        <v>117</v>
      </c>
      <c r="B13" s="367">
        <f>350000000-10000000</f>
        <v>340000000</v>
      </c>
      <c r="C13" s="373">
        <v>319364819.2</v>
      </c>
      <c r="D13" s="373"/>
      <c r="E13" s="373"/>
      <c r="F13" s="373">
        <v>227270</v>
      </c>
      <c r="G13" s="374">
        <v>11208900</v>
      </c>
      <c r="H13" s="374"/>
      <c r="I13" s="374">
        <v>601600</v>
      </c>
      <c r="J13" s="374">
        <v>0</v>
      </c>
      <c r="K13" s="374">
        <v>520250</v>
      </c>
      <c r="L13" s="374"/>
      <c r="M13" s="374"/>
      <c r="N13" s="374"/>
      <c r="O13" s="396" t="e">
        <f>(#REF!)/1000</f>
        <v>#REF!</v>
      </c>
      <c r="P13" s="388">
        <v>1000000</v>
      </c>
      <c r="Q13" s="383">
        <v>14210571.62</v>
      </c>
      <c r="R13" s="383">
        <v>5307493</v>
      </c>
      <c r="S13" s="389">
        <v>41244913.24</v>
      </c>
      <c r="T13" s="383">
        <v>27983171.62</v>
      </c>
      <c r="U13" s="383">
        <v>28864500</v>
      </c>
      <c r="V13" s="383">
        <v>32434471.619999997</v>
      </c>
      <c r="W13" s="383">
        <v>42739143.239999995</v>
      </c>
      <c r="X13" s="385"/>
      <c r="Y13" s="385"/>
    </row>
    <row r="14" spans="1:25" s="7" customFormat="1" ht="20.25" customHeight="1">
      <c r="A14" s="366" t="s">
        <v>118</v>
      </c>
      <c r="B14" s="367">
        <v>100000000</v>
      </c>
      <c r="C14" s="373">
        <v>81540000</v>
      </c>
      <c r="D14" s="373"/>
      <c r="E14" s="373">
        <v>1250000</v>
      </c>
      <c r="F14" s="373">
        <v>653780</v>
      </c>
      <c r="G14" s="374">
        <v>509292</v>
      </c>
      <c r="H14" s="374"/>
      <c r="I14" s="374">
        <v>1140445</v>
      </c>
      <c r="J14" s="374">
        <v>0</v>
      </c>
      <c r="K14" s="374">
        <v>906800</v>
      </c>
      <c r="L14" s="374"/>
      <c r="M14" s="374"/>
      <c r="N14" s="374"/>
      <c r="O14" s="396" t="e">
        <f>(#REF!)/1000</f>
        <v>#REF!</v>
      </c>
      <c r="P14" s="388">
        <v>1200000</v>
      </c>
      <c r="Q14" s="383">
        <v>1975000</v>
      </c>
      <c r="R14" s="389">
        <v>1392800</v>
      </c>
      <c r="S14" s="387">
        <v>2418080</v>
      </c>
      <c r="T14" s="389">
        <v>7827292</v>
      </c>
      <c r="U14" s="389">
        <v>9248400</v>
      </c>
      <c r="V14" s="389">
        <v>3944045</v>
      </c>
      <c r="W14" s="389">
        <v>21305606</v>
      </c>
      <c r="X14" s="385"/>
      <c r="Y14" s="385"/>
    </row>
    <row r="15" spans="1:25" s="7" customFormat="1" ht="20.25" customHeight="1">
      <c r="A15" s="366" t="s">
        <v>119</v>
      </c>
      <c r="B15" s="367">
        <f>350000000</f>
        <v>350000000</v>
      </c>
      <c r="C15" s="375">
        <v>25132272</v>
      </c>
      <c r="D15" s="375">
        <v>25908124</v>
      </c>
      <c r="E15" s="375">
        <v>26291594</v>
      </c>
      <c r="F15" s="375">
        <v>26253581</v>
      </c>
      <c r="G15" s="376">
        <v>35937479</v>
      </c>
      <c r="H15" s="376">
        <v>26354970</v>
      </c>
      <c r="I15" s="376">
        <v>26115426</v>
      </c>
      <c r="J15" s="376">
        <v>27200566</v>
      </c>
      <c r="K15" s="376">
        <v>25482767</v>
      </c>
      <c r="L15" s="376"/>
      <c r="M15" s="376"/>
      <c r="N15" s="376"/>
      <c r="O15" s="396" t="e">
        <f>(#REF!)/1000</f>
        <v>#REF!</v>
      </c>
      <c r="P15" s="388">
        <f aca="true" t="shared" si="0" ref="P15:U15">+C15</f>
        <v>25132272</v>
      </c>
      <c r="Q15" s="387">
        <f t="shared" si="0"/>
        <v>25908124</v>
      </c>
      <c r="R15" s="387">
        <f t="shared" si="0"/>
        <v>26291594</v>
      </c>
      <c r="S15" s="390">
        <f t="shared" si="0"/>
        <v>26253581</v>
      </c>
      <c r="T15" s="387">
        <f t="shared" si="0"/>
        <v>35937479</v>
      </c>
      <c r="U15" s="387">
        <f t="shared" si="0"/>
        <v>26354970</v>
      </c>
      <c r="V15" s="387">
        <v>26115426</v>
      </c>
      <c r="W15" s="387">
        <v>27200566</v>
      </c>
      <c r="X15" s="385"/>
      <c r="Y15" s="385"/>
    </row>
    <row r="16" spans="1:25" s="7" customFormat="1" ht="18" customHeight="1">
      <c r="A16" s="366" t="s">
        <v>120</v>
      </c>
      <c r="B16" s="377">
        <f>220000000+63000000-10000000-13000000</f>
        <v>260000000</v>
      </c>
      <c r="C16" s="378">
        <v>153370459</v>
      </c>
      <c r="D16" s="378">
        <v>35036777</v>
      </c>
      <c r="E16" s="378"/>
      <c r="F16" s="378">
        <v>550699</v>
      </c>
      <c r="G16" s="379">
        <v>60448800</v>
      </c>
      <c r="H16" s="379"/>
      <c r="I16" s="379">
        <v>0</v>
      </c>
      <c r="J16" s="379">
        <v>550699</v>
      </c>
      <c r="K16" s="379">
        <v>0</v>
      </c>
      <c r="L16" s="379"/>
      <c r="M16" s="379"/>
      <c r="N16" s="379"/>
      <c r="O16" s="396" t="e">
        <f>(#REF!)/1000</f>
        <v>#REF!</v>
      </c>
      <c r="P16" s="391"/>
      <c r="Q16" s="392">
        <v>40468457</v>
      </c>
      <c r="R16" s="387">
        <v>147198179</v>
      </c>
      <c r="S16" s="392">
        <v>1291299</v>
      </c>
      <c r="T16" s="392">
        <v>1076800</v>
      </c>
      <c r="U16" s="387">
        <v>59372000</v>
      </c>
      <c r="V16" s="392">
        <v>0</v>
      </c>
      <c r="W16" s="392">
        <v>550699</v>
      </c>
      <c r="X16" s="385"/>
      <c r="Y16" s="385"/>
    </row>
    <row r="17" spans="1:25" s="7" customFormat="1" ht="17.25" customHeight="1">
      <c r="A17" s="380" t="s">
        <v>121</v>
      </c>
      <c r="B17" s="381">
        <f aca="true" t="shared" si="1" ref="B17:X17">SUM(B3:B16)</f>
        <v>4053000000</v>
      </c>
      <c r="C17" s="381">
        <f t="shared" si="1"/>
        <v>1981567709.7</v>
      </c>
      <c r="D17" s="381">
        <f t="shared" si="1"/>
        <v>203556075.28</v>
      </c>
      <c r="E17" s="381">
        <f t="shared" si="1"/>
        <v>127360348.5</v>
      </c>
      <c r="F17" s="381">
        <f t="shared" si="1"/>
        <v>216065156.2</v>
      </c>
      <c r="G17" s="381">
        <f t="shared" si="1"/>
        <v>245956731.5</v>
      </c>
      <c r="H17" s="381">
        <f t="shared" si="1"/>
        <v>79876024.5</v>
      </c>
      <c r="I17" s="381">
        <f t="shared" si="1"/>
        <v>103310791.44</v>
      </c>
      <c r="J17" s="381">
        <f t="shared" si="1"/>
        <v>175348638.8</v>
      </c>
      <c r="K17" s="381">
        <f t="shared" si="1"/>
        <v>355556272.78</v>
      </c>
      <c r="L17" s="381">
        <f t="shared" si="1"/>
        <v>0</v>
      </c>
      <c r="M17" s="381">
        <f t="shared" si="1"/>
        <v>0</v>
      </c>
      <c r="N17" s="381">
        <f t="shared" si="1"/>
        <v>0</v>
      </c>
      <c r="O17" s="397" t="e">
        <f>SUM(O3:O16)</f>
        <v>#REF!</v>
      </c>
      <c r="P17" s="393">
        <f t="shared" si="1"/>
        <v>76561580.5</v>
      </c>
      <c r="Q17" s="394">
        <f t="shared" si="1"/>
        <v>166994725.9</v>
      </c>
      <c r="R17" s="394">
        <f t="shared" si="1"/>
        <v>343592536.13</v>
      </c>
      <c r="S17" s="394">
        <f t="shared" si="1"/>
        <v>293124083.44</v>
      </c>
      <c r="T17" s="394">
        <f t="shared" si="1"/>
        <v>392662919.62</v>
      </c>
      <c r="U17" s="394">
        <f t="shared" si="1"/>
        <v>308331067.5</v>
      </c>
      <c r="V17" s="394">
        <f t="shared" si="1"/>
        <v>311518837.31</v>
      </c>
      <c r="W17" s="394">
        <f t="shared" si="1"/>
        <v>388050332.79</v>
      </c>
      <c r="X17" s="395">
        <f t="shared" si="1"/>
        <v>0</v>
      </c>
      <c r="Y17" s="395"/>
    </row>
    <row r="18" spans="1:23" s="7" customFormat="1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7" customFormat="1" ht="30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7" customFormat="1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7" customFormat="1" ht="30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7" customFormat="1" ht="30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7" customFormat="1" ht="30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7" customFormat="1" ht="30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7" customFormat="1" ht="30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7" customFormat="1" ht="30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7" customFormat="1" ht="30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7" customFormat="1" ht="30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7" customFormat="1" ht="30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7" customFormat="1" ht="30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7" customFormat="1" ht="30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7" customFormat="1" ht="30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7" customFormat="1" ht="30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7" customFormat="1" ht="30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7" customFormat="1" ht="30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7" customFormat="1" ht="30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7" customFormat="1" ht="30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7" customFormat="1" ht="30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7" customFormat="1" ht="3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7" customFormat="1" ht="30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7" customFormat="1" ht="30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7" customFormat="1" ht="30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7" customFormat="1" ht="30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s="7" customFormat="1" ht="30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s="7" customFormat="1" ht="30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7" customFormat="1" ht="30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s="7" customFormat="1" ht="30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s="7" customFormat="1" ht="3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s="7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s="7" customFormat="1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s="7" customFormat="1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7" customFormat="1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s="7" customFormat="1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s="7" customFormat="1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7" customFormat="1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s="7" customFormat="1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s="7" customFormat="1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s="7" customFormat="1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s="7" customFormat="1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s="7" customFormat="1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s="7" customFormat="1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s="7" customFormat="1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s="7" customFormat="1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s="7" customFormat="1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s="7" customFormat="1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s="7" customFormat="1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s="7" customFormat="1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s="7" customFormat="1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s="7" customFormat="1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s="7" customFormat="1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s="7" customFormat="1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s="7" customFormat="1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s="7" customFormat="1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s="7" customFormat="1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s="7" customFormat="1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s="7" customFormat="1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s="7" customFormat="1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s="7" customFormat="1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s="7" customFormat="1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s="7" customFormat="1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s="7" customFormat="1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7" customFormat="1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7" customFormat="1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s="7" customFormat="1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s="7" customFormat="1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s="7" customFormat="1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s="7" customFormat="1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s="7" customFormat="1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s="7" customFormat="1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s="7" customFormat="1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s="7" customFormat="1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s="7" customFormat="1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s="7" customFormat="1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s="7" customFormat="1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s="7" customFormat="1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s="7" customFormat="1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s="7" customFormat="1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s="7" customFormat="1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s="7" customFormat="1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s="7" customFormat="1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7" customFormat="1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7" customFormat="1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7" customFormat="1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7" customFormat="1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7" customFormat="1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7" customFormat="1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7" customFormat="1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7" customFormat="1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7" customFormat="1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7" customFormat="1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7" customFormat="1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s="7" customFormat="1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s="7" customFormat="1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s="7" customFormat="1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s="7" customFormat="1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s="7" customFormat="1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s="7" customFormat="1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s="7" customFormat="1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s="7" customFormat="1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s="7" customFormat="1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s="7" customFormat="1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s="7" customFormat="1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s="7" customFormat="1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s="7" customFormat="1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s="7" customFormat="1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s="7" customFormat="1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s="7" customFormat="1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s="7" customFormat="1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s="7" customFormat="1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s="7" customFormat="1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s="7" customFormat="1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s="7" customFormat="1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s="7" customFormat="1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s="7" customFormat="1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s="7" customFormat="1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s="7" customFormat="1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s="7" customFormat="1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s="7" customFormat="1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s="7" customFormat="1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s="7" customFormat="1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s="7" customFormat="1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s="7" customFormat="1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s="7" customFormat="1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s="7" customFormat="1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s="7" customFormat="1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s="7" customFormat="1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s="7" customFormat="1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s="7" customFormat="1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s="7" customFormat="1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s="7" customFormat="1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s="7" customFormat="1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s="7" customFormat="1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s="7" customFormat="1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s="7" customFormat="1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s="7" customFormat="1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s="7" customFormat="1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s="7" customFormat="1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s="7" customFormat="1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s="7" customFormat="1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s="7" customFormat="1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s="7" customFormat="1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s="7" customFormat="1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s="7" customFormat="1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s="7" customFormat="1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s="7" customFormat="1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s="7" customFormat="1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s="7" customFormat="1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s="7" customFormat="1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s="7" customFormat="1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s="7" customFormat="1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s="7" customFormat="1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s="7" customFormat="1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s="7" customFormat="1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s="7" customFormat="1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s="7" customFormat="1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s="7" customFormat="1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s="7" customFormat="1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s="7" customFormat="1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s="7" customFormat="1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s="7" customFormat="1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s="7" customFormat="1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s="7" customFormat="1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s="7" customFormat="1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s="7" customFormat="1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s="7" customFormat="1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s="7" customFormat="1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s="7" customFormat="1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s="7" customFormat="1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s="7" customFormat="1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s="7" customFormat="1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s="7" customFormat="1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s="7" customFormat="1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s="7" customFormat="1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s="7" customFormat="1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s="7" customFormat="1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s="7" customFormat="1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s="7" customFormat="1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s="7" customFormat="1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s="7" customFormat="1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s="7" customFormat="1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s="7" customFormat="1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s="7" customFormat="1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s="7" customFormat="1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s="7" customFormat="1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s="7" customFormat="1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s="7" customFormat="1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s="7" customFormat="1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s="7" customFormat="1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s="7" customFormat="1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s="7" customFormat="1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s="7" customFormat="1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s="7" customFormat="1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s="7" customFormat="1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s="7" customFormat="1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s="7" customFormat="1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s="7" customFormat="1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s="7" customFormat="1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s="7" customFormat="1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s="7" customFormat="1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s="7" customFormat="1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s="7" customFormat="1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s="7" customFormat="1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s="7" customFormat="1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7" customFormat="1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7" customFormat="1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7" customFormat="1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7" customFormat="1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7" customFormat="1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7" customFormat="1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7" customFormat="1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7" customFormat="1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7" customFormat="1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7" customFormat="1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7" customFormat="1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7" customFormat="1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7" customFormat="1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7" customFormat="1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7" customFormat="1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7" customFormat="1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7" customFormat="1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7" customFormat="1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7" customFormat="1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7" customFormat="1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7" customFormat="1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7" customFormat="1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7" customFormat="1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7" customFormat="1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7" customFormat="1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7" customFormat="1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7" customFormat="1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7" customFormat="1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7" customFormat="1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7" customFormat="1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7" customFormat="1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7" customFormat="1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7" customFormat="1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7" customFormat="1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7" customFormat="1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7" customFormat="1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7" customFormat="1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7" customFormat="1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7" customFormat="1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7" customFormat="1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7" customFormat="1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7" customFormat="1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7" customFormat="1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7" customFormat="1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7" customFormat="1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7" customFormat="1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7" customFormat="1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7" customFormat="1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7" customFormat="1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7" customFormat="1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7" customFormat="1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7" customFormat="1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7" customFormat="1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7" customFormat="1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7" customFormat="1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7" customFormat="1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7" customFormat="1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7" customFormat="1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7" customFormat="1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7" customFormat="1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7" customFormat="1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7" customFormat="1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7" customFormat="1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7" customFormat="1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7" customFormat="1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7" customFormat="1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7" customFormat="1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7" customFormat="1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7" customFormat="1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7" customFormat="1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7" customFormat="1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7" customFormat="1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s="7" customFormat="1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s="7" customFormat="1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s="7" customFormat="1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s="7" customFormat="1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s="7" customFormat="1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s="7" customFormat="1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s="7" customFormat="1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s="7" customFormat="1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s="7" customFormat="1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s="7" customFormat="1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s="7" customFormat="1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s="7" customFormat="1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s="7" customFormat="1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s="7" customFormat="1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s="7" customFormat="1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s="7" customFormat="1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s="7" customFormat="1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s="7" customFormat="1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s="7" customFormat="1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s="7" customFormat="1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s="7" customFormat="1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s="7" customFormat="1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s="7" customFormat="1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s="7" customFormat="1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s="7" customFormat="1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3" s="7" customFormat="1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3" s="7" customFormat="1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3" s="7" customFormat="1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3" s="7" customFormat="1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3" s="7" customFormat="1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3" s="7" customFormat="1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3" s="7" customFormat="1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3" s="7" customFormat="1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3" s="7" customFormat="1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3" s="7" customFormat="1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3" s="7" customFormat="1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spans="1:23" s="7" customFormat="1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spans="1:23" s="7" customFormat="1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spans="1:23" s="7" customFormat="1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spans="1:23" s="7" customFormat="1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spans="1:23" s="7" customFormat="1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spans="1:23" s="7" customFormat="1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spans="1:23" s="7" customFormat="1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spans="1:23" s="7" customFormat="1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spans="1:23" s="7" customFormat="1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spans="1:23" s="7" customFormat="1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spans="1:23" s="7" customFormat="1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spans="1:23" s="7" customFormat="1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spans="1:23" s="7" customFormat="1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spans="1:23" s="7" customFormat="1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spans="1:23" s="7" customFormat="1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spans="1:23" s="7" customFormat="1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spans="1:23" s="7" customFormat="1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spans="1:23" s="7" customFormat="1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spans="1:23" s="7" customFormat="1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spans="1:23" s="7" customFormat="1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spans="1:23" s="7" customFormat="1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spans="1:23" s="7" customFormat="1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spans="1:23" s="7" customFormat="1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spans="1:23" s="7" customFormat="1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spans="1:23" s="7" customFormat="1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spans="1:23" s="7" customFormat="1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spans="1:23" s="7" customFormat="1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spans="1:23" s="7" customFormat="1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spans="1:23" s="7" customFormat="1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spans="1:23" s="7" customFormat="1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spans="1:23" s="7" customFormat="1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spans="1:23" s="7" customFormat="1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spans="1:23" s="7" customFormat="1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spans="1:23" s="7" customFormat="1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spans="1:23" s="7" customFormat="1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spans="1:23" s="7" customFormat="1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spans="1:23" s="7" customFormat="1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spans="1:23" s="7" customFormat="1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spans="1:23" s="7" customFormat="1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spans="1:23" s="7" customFormat="1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spans="1:23" s="7" customFormat="1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spans="1:23" s="7" customFormat="1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spans="1:23" s="7" customFormat="1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spans="1:23" s="7" customFormat="1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spans="1:23" s="7" customFormat="1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spans="1:23" s="7" customFormat="1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spans="1:23" s="7" customFormat="1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spans="1:23" s="7" customFormat="1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spans="1:23" s="7" customFormat="1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spans="1:23" s="7" customFormat="1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spans="1:23" s="7" customFormat="1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s="7" customFormat="1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s="7" customFormat="1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s="7" customFormat="1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spans="1:23" s="7" customFormat="1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s="7" customFormat="1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s="7" customFormat="1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s="7" customFormat="1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s="7" customFormat="1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s="7" customFormat="1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s="7" customFormat="1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s="7" customFormat="1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s="7" customFormat="1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s="7" customFormat="1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s="7" customFormat="1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s="7" customFormat="1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s="7" customFormat="1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s="7" customFormat="1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s="7" customFormat="1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s="7" customFormat="1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s="7" customFormat="1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s="7" customFormat="1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s="7" customFormat="1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s="7" customFormat="1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s="7" customFormat="1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s="7" customFormat="1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s="7" customFormat="1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s="7" customFormat="1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s="7" customFormat="1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s="7" customFormat="1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s="7" customFormat="1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s="7" customFormat="1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s="7" customFormat="1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s="7" customFormat="1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s="7" customFormat="1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s="7" customFormat="1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s="7" customFormat="1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s="7" customFormat="1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s="7" customFormat="1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s="7" customFormat="1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s="7" customFormat="1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s="7" customFormat="1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s="7" customFormat="1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spans="1:23" s="7" customFormat="1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spans="1:23" s="7" customFormat="1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s="7" customFormat="1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s="7" customFormat="1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s="7" customFormat="1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spans="1:23" s="7" customFormat="1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spans="1:23" s="7" customFormat="1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spans="1:23" s="7" customFormat="1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s="7" customFormat="1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s="7" customFormat="1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s="7" customFormat="1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s="7" customFormat="1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s="7" customFormat="1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s="7" customFormat="1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s="7" customFormat="1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s="7" customFormat="1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s="7" customFormat="1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s="7" customFormat="1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s="7" customFormat="1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s="7" customFormat="1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s="7" customFormat="1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s="7" customFormat="1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s="7" customFormat="1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s="7" customFormat="1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s="7" customFormat="1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s="7" customFormat="1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s="7" customFormat="1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s="7" customFormat="1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s="7" customFormat="1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s="7" customFormat="1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s="7" customFormat="1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s="7" customFormat="1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s="7" customFormat="1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s="7" customFormat="1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s="7" customFormat="1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s="7" customFormat="1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s="7" customFormat="1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s="7" customFormat="1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s="7" customFormat="1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s="7" customFormat="1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s="7" customFormat="1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s="7" customFormat="1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s="7" customFormat="1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s="7" customFormat="1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s="7" customFormat="1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s="7" customFormat="1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s="7" customFormat="1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s="7" customFormat="1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s="7" customFormat="1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spans="1:23" s="7" customFormat="1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spans="1:23" s="7" customFormat="1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spans="1:23" s="7" customFormat="1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spans="1:23" s="7" customFormat="1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s="7" customFormat="1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s="7" customFormat="1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s="7" customFormat="1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s="7" customFormat="1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s="7" customFormat="1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s="7" customFormat="1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s="7" customFormat="1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s="7" customFormat="1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s="7" customFormat="1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s="7" customFormat="1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s="7" customFormat="1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s="7" customFormat="1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s="7" customFormat="1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s="7" customFormat="1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s="7" customFormat="1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s="7" customFormat="1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s="7" customFormat="1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s="7" customFormat="1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s="7" customFormat="1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s="7" customFormat="1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s="7" customFormat="1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s="7" customFormat="1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23" s="7" customFormat="1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spans="1:23" s="7" customFormat="1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spans="1:23" s="7" customFormat="1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spans="1:23" s="7" customFormat="1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spans="1:23" s="7" customFormat="1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spans="1:23" s="7" customFormat="1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spans="1:23" s="7" customFormat="1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spans="1:23" s="7" customFormat="1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spans="1:23" s="7" customFormat="1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spans="1:23" s="7" customFormat="1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spans="1:23" s="7" customFormat="1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spans="1:23" s="7" customFormat="1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spans="1:23" s="7" customFormat="1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spans="1:23" s="7" customFormat="1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spans="1:23" s="7" customFormat="1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spans="1:23" s="7" customFormat="1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spans="1:23" s="7" customFormat="1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spans="1:23" s="7" customFormat="1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spans="1:23" s="7" customFormat="1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spans="1:23" s="7" customFormat="1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spans="1:23" s="7" customFormat="1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spans="1:23" s="7" customFormat="1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spans="1:23" s="7" customFormat="1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spans="1:23" s="7" customFormat="1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1:23" s="7" customFormat="1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1:23" s="7" customFormat="1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1:23" s="7" customFormat="1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1:23" s="7" customFormat="1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1:23" s="7" customFormat="1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1:23" s="7" customFormat="1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1:23" s="7" customFormat="1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1:23" s="7" customFormat="1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1:23" s="7" customFormat="1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1:23" s="7" customFormat="1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1:23" s="7" customFormat="1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1:23" s="7" customFormat="1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1:23" s="7" customFormat="1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1:23" s="7" customFormat="1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1:23" s="7" customFormat="1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1:23" s="7" customFormat="1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1:23" s="7" customFormat="1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1:23" s="7" customFormat="1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1:23" s="7" customFormat="1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1:23" s="7" customFormat="1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1:23" s="7" customFormat="1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1:23" s="7" customFormat="1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1:23" s="7" customFormat="1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spans="1:23" s="7" customFormat="1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spans="1:23" s="7" customFormat="1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spans="1:23" s="7" customFormat="1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spans="1:23" s="7" customFormat="1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spans="1:23" s="7" customFormat="1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spans="1:23" s="7" customFormat="1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spans="1:23" s="7" customFormat="1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spans="1:23" s="7" customFormat="1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spans="1:23" s="7" customFormat="1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spans="1:23" s="7" customFormat="1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spans="1:23" s="7" customFormat="1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1:23" s="7" customFormat="1" ht="1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1:23" s="7" customFormat="1" ht="1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1:23" s="7" customFormat="1" ht="1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1:23" s="7" customFormat="1" ht="1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1:23" s="7" customFormat="1" ht="1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s="7" customFormat="1" ht="1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s="7" customFormat="1" ht="1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s="7" customFormat="1" ht="1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s="7" customFormat="1" ht="1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1:23" s="7" customFormat="1" ht="1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1:23" s="7" customFormat="1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s="7" customFormat="1" ht="1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s="7" customFormat="1" ht="1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s="7" customFormat="1" ht="1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s="7" customFormat="1" ht="1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1:23" s="7" customFormat="1" ht="1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s="7" customFormat="1" ht="1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s="7" customFormat="1" ht="1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spans="1:23" s="7" customFormat="1" ht="1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spans="1:23" s="7" customFormat="1" ht="1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spans="1:23" s="7" customFormat="1" ht="1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spans="1:23" s="7" customFormat="1" ht="1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spans="1:23" s="7" customFormat="1" ht="1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spans="1:23" s="7" customFormat="1" ht="1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spans="1:23" s="7" customFormat="1" ht="1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spans="1:23" s="7" customFormat="1" ht="1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spans="1:23" s="7" customFormat="1" ht="1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spans="1:23" s="7" customFormat="1" ht="1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spans="1:23" s="7" customFormat="1" ht="1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spans="1:23" s="7" customFormat="1" ht="1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spans="1:23" s="7" customFormat="1" ht="1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spans="1:23" s="7" customFormat="1" ht="1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spans="1:23" s="7" customFormat="1" ht="1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spans="1:23" s="7" customFormat="1" ht="1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spans="1:23" s="7" customFormat="1" ht="1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s="7" customFormat="1" ht="1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s="7" customFormat="1" ht="1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s="7" customFormat="1" ht="1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s="7" customFormat="1" ht="1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s="7" customFormat="1" ht="1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s="7" customFormat="1" ht="1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s="7" customFormat="1" ht="1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s="7" customFormat="1" ht="1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s="7" customFormat="1" ht="1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s="7" customFormat="1" ht="1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s="7" customFormat="1" ht="1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s="7" customFormat="1" ht="1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s="7" customFormat="1" ht="1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s="7" customFormat="1" ht="1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s="7" customFormat="1" ht="1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spans="1:23" s="7" customFormat="1" ht="1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spans="1:23" s="7" customFormat="1" ht="1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spans="1:23" s="7" customFormat="1" ht="1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spans="1:23" s="7" customFormat="1" ht="1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spans="1:23" s="7" customFormat="1" ht="1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spans="1:23" s="7" customFormat="1" ht="1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spans="1:23" s="7" customFormat="1" ht="1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spans="1:23" s="7" customFormat="1" ht="1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spans="1:23" s="7" customFormat="1" ht="1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spans="1:23" s="7" customFormat="1" ht="1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spans="1:23" s="7" customFormat="1" ht="1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spans="1:23" s="7" customFormat="1" ht="1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spans="1:23" s="7" customFormat="1" ht="1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spans="1:23" s="7" customFormat="1" ht="1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spans="1:23" s="7" customFormat="1" ht="1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spans="1:23" s="7" customFormat="1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spans="1:23" s="7" customFormat="1" ht="1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spans="1:23" s="7" customFormat="1" ht="1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spans="1:23" s="7" customFormat="1" ht="1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spans="1:23" s="7" customFormat="1" ht="1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spans="1:23" s="7" customFormat="1" ht="1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spans="1:23" s="7" customFormat="1" ht="1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spans="1:23" s="7" customFormat="1" ht="1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spans="1:23" s="7" customFormat="1" ht="1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spans="1:23" s="7" customFormat="1" ht="1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spans="1:23" s="7" customFormat="1" ht="1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spans="1:23" s="7" customFormat="1" ht="1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spans="1:23" s="7" customFormat="1" ht="1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spans="1:23" s="7" customFormat="1" ht="1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spans="1:23" s="7" customFormat="1" ht="1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spans="1:23" s="7" customFormat="1" ht="1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s="7" customFormat="1" ht="1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s="7" customFormat="1" ht="1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s="7" customFormat="1" ht="1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s="7" customFormat="1" ht="1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s="7" customFormat="1" ht="1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s="7" customFormat="1" ht="1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s="7" customFormat="1" ht="1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s="7" customFormat="1" ht="1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s="7" customFormat="1" ht="1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spans="1:23" s="7" customFormat="1" ht="1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spans="1:23" s="7" customFormat="1" ht="1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spans="1:23" s="7" customFormat="1" ht="1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spans="1:23" s="7" customFormat="1" ht="1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spans="1:23" s="7" customFormat="1" ht="1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spans="1:23" s="7" customFormat="1" ht="1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spans="1:23" s="7" customFormat="1" ht="1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spans="1:23" s="7" customFormat="1" ht="1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spans="1:23" s="7" customFormat="1" ht="1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spans="1:23" s="7" customFormat="1" ht="1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spans="1:23" s="7" customFormat="1" ht="1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spans="1:23" s="7" customFormat="1" ht="1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spans="1:23" s="7" customFormat="1" ht="1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spans="1:23" s="7" customFormat="1" ht="1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spans="1:23" s="7" customFormat="1" ht="1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spans="1:23" s="7" customFormat="1" ht="1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spans="1:23" s="7" customFormat="1" ht="1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spans="1:23" s="7" customFormat="1" ht="1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spans="1:23" s="7" customFormat="1" ht="1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spans="1:23" s="7" customFormat="1" ht="1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spans="1:23" s="7" customFormat="1" ht="1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spans="1:23" s="7" customFormat="1" ht="1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spans="1:23" s="7" customFormat="1" ht="1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spans="1:23" s="7" customFormat="1" ht="1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spans="1:23" s="7" customFormat="1" ht="1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spans="1:23" s="7" customFormat="1" ht="1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spans="1:23" s="7" customFormat="1" ht="1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spans="1:23" s="7" customFormat="1" ht="1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spans="1:23" s="7" customFormat="1" ht="1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spans="1:23" s="7" customFormat="1" ht="1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spans="1:23" s="7" customFormat="1" ht="1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spans="1:23" s="7" customFormat="1" ht="1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spans="1:23" s="7" customFormat="1" ht="1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spans="1:23" s="7" customFormat="1" ht="1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spans="1:23" s="7" customFormat="1" ht="1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spans="1:23" s="7" customFormat="1" ht="1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spans="1:23" s="7" customFormat="1" ht="1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spans="1:23" s="7" customFormat="1" ht="1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spans="1:23" s="7" customFormat="1" ht="1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spans="1:23" s="7" customFormat="1" ht="1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spans="1:23" s="7" customFormat="1" ht="1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spans="1:23" s="7" customFormat="1" ht="1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:23" s="7" customFormat="1" ht="1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spans="1:23" s="7" customFormat="1" ht="1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s="7" customFormat="1" ht="1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spans="1:23" s="7" customFormat="1" ht="1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spans="1:23" s="7" customFormat="1" ht="1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spans="1:23" s="7" customFormat="1" ht="1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spans="1:23" s="7" customFormat="1" ht="1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spans="1:23" s="7" customFormat="1" ht="1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spans="1:23" s="7" customFormat="1" ht="1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spans="1:23" s="7" customFormat="1" ht="1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spans="1:23" s="7" customFormat="1" ht="1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spans="1:23" s="7" customFormat="1" ht="1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spans="1:23" s="7" customFormat="1" ht="1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spans="1:23" s="7" customFormat="1" ht="1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spans="1:23" s="7" customFormat="1" ht="1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spans="1:23" s="7" customFormat="1" ht="1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spans="1:23" s="7" customFormat="1" ht="1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spans="1:23" s="7" customFormat="1" ht="1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spans="1:23" s="7" customFormat="1" ht="1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spans="1:23" s="7" customFormat="1" ht="1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spans="1:23" s="7" customFormat="1" ht="1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spans="1:23" s="7" customFormat="1" ht="1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spans="1:23" s="7" customFormat="1" ht="1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spans="1:23" s="7" customFormat="1" ht="1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spans="1:23" s="7" customFormat="1" ht="1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spans="1:23" s="7" customFormat="1" ht="1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spans="1:23" s="7" customFormat="1" ht="1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spans="1:23" s="7" customFormat="1" ht="1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spans="1:23" s="7" customFormat="1" ht="1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spans="1:23" s="7" customFormat="1" ht="1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spans="1:23" s="7" customFormat="1" ht="1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spans="1:23" s="7" customFormat="1" ht="1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spans="1:23" s="7" customFormat="1" ht="1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spans="1:23" s="7" customFormat="1" ht="1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spans="1:23" s="7" customFormat="1" ht="1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spans="1:23" s="7" customFormat="1" ht="1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spans="1:23" s="7" customFormat="1" ht="1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spans="1:23" s="7" customFormat="1" ht="1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spans="1:23" s="7" customFormat="1" ht="1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spans="1:23" s="7" customFormat="1" ht="1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spans="1:23" s="7" customFormat="1" ht="1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spans="1:23" s="7" customFormat="1" ht="1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spans="1:23" s="7" customFormat="1" ht="1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spans="1:23" s="7" customFormat="1" ht="1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spans="1:23" s="7" customFormat="1" ht="1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spans="1:23" s="7" customFormat="1" ht="1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spans="1:23" s="7" customFormat="1" ht="1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spans="1:23" s="7" customFormat="1" ht="1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spans="1:23" s="7" customFormat="1" ht="1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spans="1:23" s="7" customFormat="1" ht="1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spans="1:23" s="7" customFormat="1" ht="1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spans="1:23" s="7" customFormat="1" ht="1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spans="1:23" s="7" customFormat="1" ht="1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spans="1:23" s="7" customFormat="1" ht="1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spans="1:23" s="7" customFormat="1" ht="1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spans="1:23" s="7" customFormat="1" ht="1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spans="1:23" s="7" customFormat="1" ht="1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spans="1:23" s="7" customFormat="1" ht="1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spans="1:23" s="7" customFormat="1" ht="1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spans="1:23" s="7" customFormat="1" ht="1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spans="1:23" s="7" customFormat="1" ht="1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spans="1:23" s="7" customFormat="1" ht="1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spans="1:23" s="7" customFormat="1" ht="1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spans="1:23" s="7" customFormat="1" ht="1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spans="1:23" s="7" customFormat="1" ht="1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spans="1:23" s="7" customFormat="1" ht="1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spans="1:23" s="7" customFormat="1" ht="1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spans="1:23" s="7" customFormat="1" ht="1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spans="1:23" s="7" customFormat="1" ht="1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spans="1:23" s="7" customFormat="1" ht="1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spans="1:23" s="7" customFormat="1" ht="1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spans="1:23" s="7" customFormat="1" ht="1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spans="1:23" s="7" customFormat="1" ht="1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spans="1:23" s="7" customFormat="1" ht="1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spans="1:23" s="7" customFormat="1" ht="1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spans="1:23" s="7" customFormat="1" ht="1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spans="1:23" s="7" customFormat="1" ht="1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spans="1:23" s="7" customFormat="1" ht="1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spans="1:23" s="7" customFormat="1" ht="1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spans="1:23" s="7" customFormat="1" ht="1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spans="1:23" s="7" customFormat="1" ht="1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spans="1:23" s="7" customFormat="1" ht="1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spans="1:23" s="7" customFormat="1" ht="1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spans="1:23" s="7" customFormat="1" ht="1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spans="1:23" s="7" customFormat="1" ht="1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spans="1:23" s="7" customFormat="1" ht="1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spans="1:23" s="7" customFormat="1" ht="1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spans="1:23" s="7" customFormat="1" ht="1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spans="1:23" s="7" customFormat="1" ht="1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spans="1:23" s="7" customFormat="1" ht="1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spans="1:23" s="7" customFormat="1" ht="1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spans="1:23" s="7" customFormat="1" ht="1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spans="1:23" s="7" customFormat="1" ht="1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spans="1:23" s="7" customFormat="1" ht="1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spans="1:23" s="7" customFormat="1" ht="1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spans="1:23" s="7" customFormat="1" ht="1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spans="1:23" s="7" customFormat="1" ht="1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spans="1:23" s="7" customFormat="1" ht="1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spans="1:23" s="7" customFormat="1" ht="1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spans="1:23" s="7" customFormat="1" ht="1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spans="1:23" s="7" customFormat="1" ht="1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spans="1:23" s="7" customFormat="1" ht="1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spans="1:23" s="7" customFormat="1" ht="1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spans="1:23" s="7" customFormat="1" ht="1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spans="1:23" s="7" customFormat="1" ht="1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spans="1:23" s="7" customFormat="1" ht="1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spans="1:23" s="7" customFormat="1" ht="1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spans="1:23" s="7" customFormat="1" ht="1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spans="1:23" s="7" customFormat="1" ht="1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spans="1:23" s="7" customFormat="1" ht="1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spans="1:23" s="7" customFormat="1" ht="1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spans="1:23" s="7" customFormat="1" ht="1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spans="1:23" s="7" customFormat="1" ht="1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spans="1:23" s="7" customFormat="1" ht="1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spans="1:23" s="7" customFormat="1" ht="1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spans="1:23" s="7" customFormat="1" ht="1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spans="1:23" s="7" customFormat="1" ht="1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spans="1:23" s="7" customFormat="1" ht="1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spans="1:23" s="7" customFormat="1" ht="1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spans="1:23" s="7" customFormat="1" ht="1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spans="1:23" s="7" customFormat="1" ht="1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spans="1:23" s="7" customFormat="1" ht="1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spans="1:23" s="7" customFormat="1" ht="1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spans="1:23" s="7" customFormat="1" ht="1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spans="1:23" s="7" customFormat="1" ht="1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spans="1:23" s="7" customFormat="1" ht="1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spans="1:23" s="7" customFormat="1" ht="1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spans="1:23" s="7" customFormat="1" ht="1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spans="1:23" s="7" customFormat="1" ht="1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spans="1:23" s="7" customFormat="1" ht="1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spans="1:23" s="7" customFormat="1" ht="1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spans="1:23" s="7" customFormat="1" ht="1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spans="1:23" s="7" customFormat="1" ht="1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spans="1:23" s="7" customFormat="1" ht="1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spans="1:23" s="7" customFormat="1" ht="1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spans="1:23" s="7" customFormat="1" ht="1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spans="1:23" s="7" customFormat="1" ht="1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spans="1:23" s="7" customFormat="1" ht="1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spans="1:23" s="7" customFormat="1" ht="1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spans="1:23" s="7" customFormat="1" ht="1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spans="1:23" s="7" customFormat="1" ht="1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spans="1:23" s="7" customFormat="1" ht="1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spans="1:23" s="7" customFormat="1" ht="1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spans="1:23" s="7" customFormat="1" ht="1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spans="1:23" s="7" customFormat="1" ht="1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spans="1:23" s="7" customFormat="1" ht="1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spans="1:23" s="7" customFormat="1" ht="1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spans="1:23" s="7" customFormat="1" ht="1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spans="1:23" s="7" customFormat="1" ht="1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spans="1:23" s="7" customFormat="1" ht="1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spans="1:23" s="7" customFormat="1" ht="1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spans="1:23" s="7" customFormat="1" ht="1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spans="1:23" s="7" customFormat="1" ht="1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spans="1:23" s="7" customFormat="1" ht="1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spans="1:23" s="7" customFormat="1" ht="1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spans="1:23" s="7" customFormat="1" ht="1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spans="1:23" s="7" customFormat="1" ht="1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spans="1:23" s="7" customFormat="1" ht="1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spans="1:23" s="7" customFormat="1" ht="1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spans="1:23" s="7" customFormat="1" ht="1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spans="1:23" s="7" customFormat="1" ht="1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spans="1:23" s="7" customFormat="1" ht="1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spans="1:23" s="7" customFormat="1" ht="1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spans="1:23" s="7" customFormat="1" ht="1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spans="1:23" s="7" customFormat="1" ht="1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spans="1:23" s="7" customFormat="1" ht="1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spans="1:23" s="7" customFormat="1" ht="1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spans="1:23" s="7" customFormat="1" ht="1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spans="1:23" s="7" customFormat="1" ht="1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spans="1:23" s="7" customFormat="1" ht="1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spans="1:23" s="7" customFormat="1" ht="1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spans="1:23" s="7" customFormat="1" ht="1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spans="1:23" s="7" customFormat="1" ht="1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spans="1:23" s="7" customFormat="1" ht="1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spans="1:23" s="7" customFormat="1" ht="1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spans="1:23" s="7" customFormat="1" ht="1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spans="1:23" s="7" customFormat="1" ht="1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spans="1:23" s="7" customFormat="1" ht="1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spans="1:23" s="7" customFormat="1" ht="1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spans="1:23" s="7" customFormat="1" ht="1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spans="1:23" s="7" customFormat="1" ht="1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spans="1:23" s="7" customFormat="1" ht="1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spans="1:23" s="7" customFormat="1" ht="1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spans="1:23" s="7" customFormat="1" ht="1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spans="1:23" s="7" customFormat="1" ht="1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spans="1:23" s="7" customFormat="1" ht="1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spans="1:23" s="7" customFormat="1" ht="1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spans="1:23" s="7" customFormat="1" ht="1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spans="1:23" s="7" customFormat="1" ht="1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spans="1:23" s="7" customFormat="1" ht="1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spans="1:23" s="7" customFormat="1" ht="1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spans="1:23" s="7" customFormat="1" ht="1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spans="1:23" s="7" customFormat="1" ht="1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spans="1:23" s="7" customFormat="1" ht="1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spans="1:23" s="7" customFormat="1" ht="1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spans="1:23" s="7" customFormat="1" ht="1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spans="1:23" s="7" customFormat="1" ht="1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spans="1:23" s="7" customFormat="1" ht="1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spans="1:23" s="7" customFormat="1" ht="1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spans="1:23" s="7" customFormat="1" ht="1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spans="1:23" s="7" customFormat="1" ht="1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spans="1:23" s="7" customFormat="1" ht="1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spans="1:23" s="7" customFormat="1" ht="1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spans="1:23" s="7" customFormat="1" ht="1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spans="1:23" s="7" customFormat="1" ht="1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spans="1:23" s="7" customFormat="1" ht="1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spans="1:23" s="7" customFormat="1" ht="1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spans="1:23" s="7" customFormat="1" ht="1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spans="1:23" s="7" customFormat="1" ht="1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spans="1:23" s="7" customFormat="1" ht="1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spans="1:23" s="7" customFormat="1" ht="1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spans="1:23" s="7" customFormat="1" ht="1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spans="1:23" s="7" customFormat="1" ht="1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spans="1:23" s="7" customFormat="1" ht="1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spans="1:23" s="7" customFormat="1" ht="1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spans="1:23" s="7" customFormat="1" ht="1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spans="1:23" s="7" customFormat="1" ht="1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spans="1:23" s="7" customFormat="1" ht="1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spans="1:23" s="7" customFormat="1" ht="1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spans="1:23" s="7" customFormat="1" ht="1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spans="1:23" s="7" customFormat="1" ht="1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spans="1:23" s="7" customFormat="1" ht="1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spans="1:23" s="7" customFormat="1" ht="1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spans="1:23" s="7" customFormat="1" ht="1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spans="1:23" s="7" customFormat="1" ht="1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spans="1:23" s="7" customFormat="1" ht="1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spans="1:23" s="7" customFormat="1" ht="1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spans="1:23" s="7" customFormat="1" ht="1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spans="1:23" s="7" customFormat="1" ht="1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spans="1:23" s="7" customFormat="1" ht="1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spans="1:23" s="7" customFormat="1" ht="1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spans="1:23" s="7" customFormat="1" ht="1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spans="1:23" s="7" customFormat="1" ht="1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spans="1:23" s="7" customFormat="1" ht="1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spans="1:23" s="7" customFormat="1" ht="1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spans="1:23" s="7" customFormat="1" ht="1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spans="1:23" s="7" customFormat="1" ht="1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spans="1:23" s="7" customFormat="1" ht="1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spans="1:23" s="7" customFormat="1" ht="1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spans="1:23" s="7" customFormat="1" ht="1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spans="1:23" s="7" customFormat="1" ht="1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spans="1:23" s="7" customFormat="1" ht="1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spans="1:23" s="7" customFormat="1" ht="1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spans="1:23" s="7" customFormat="1" ht="1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spans="1:23" s="7" customFormat="1" ht="1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spans="1:23" s="7" customFormat="1" ht="1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spans="1:23" s="7" customFormat="1" ht="1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spans="1:23" s="7" customFormat="1" ht="1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spans="1:23" s="7" customFormat="1" ht="1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spans="1:23" s="7" customFormat="1" ht="1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spans="1:23" s="7" customFormat="1" ht="1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spans="1:23" s="7" customFormat="1" ht="1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spans="1:23" s="7" customFormat="1" ht="1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spans="1:23" s="7" customFormat="1" ht="1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spans="1:23" s="7" customFormat="1" ht="1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spans="1:23" s="7" customFormat="1" ht="1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spans="1:23" s="7" customFormat="1" ht="1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spans="1:23" s="7" customFormat="1" ht="1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spans="1:23" s="7" customFormat="1" ht="1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spans="1:23" s="7" customFormat="1" ht="1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spans="1:23" s="7" customFormat="1" ht="1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spans="1:23" s="7" customFormat="1" ht="1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spans="1:23" s="7" customFormat="1" ht="1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spans="1:23" s="7" customFormat="1" ht="1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spans="1:23" s="7" customFormat="1" ht="1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spans="1:23" s="7" customFormat="1" ht="1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spans="1:23" s="7" customFormat="1" ht="1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spans="1:23" s="7" customFormat="1" ht="1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spans="1:23" s="7" customFormat="1" ht="1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spans="1:23" s="7" customFormat="1" ht="1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spans="1:23" s="7" customFormat="1" ht="1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spans="1:23" s="7" customFormat="1" ht="1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spans="1:23" s="7" customFormat="1" ht="1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spans="1:23" s="7" customFormat="1" ht="1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spans="1:23" s="7" customFormat="1" ht="1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spans="1:23" s="7" customFormat="1" ht="1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spans="1:23" s="7" customFormat="1" ht="1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spans="1:23" s="7" customFormat="1" ht="1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spans="1:23" s="7" customFormat="1" ht="1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spans="1:23" s="7" customFormat="1" ht="1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spans="1:23" s="7" customFormat="1" ht="1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spans="1:23" s="7" customFormat="1" ht="1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spans="1:23" s="7" customFormat="1" ht="1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spans="1:23" s="7" customFormat="1" ht="1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spans="1:23" s="7" customFormat="1" ht="1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spans="1:23" s="7" customFormat="1" ht="1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spans="1:23" s="7" customFormat="1" ht="1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spans="1:23" s="7" customFormat="1" ht="1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spans="1:23" s="7" customFormat="1" ht="1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spans="1:23" s="7" customFormat="1" ht="1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spans="1:23" s="7" customFormat="1" ht="1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spans="1:23" s="7" customFormat="1" ht="1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spans="1:23" s="7" customFormat="1" ht="1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spans="1:23" s="7" customFormat="1" ht="1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spans="1:23" s="7" customFormat="1" ht="1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spans="1:23" s="7" customFormat="1" ht="1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spans="1:23" s="7" customFormat="1" ht="1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spans="1:23" s="7" customFormat="1" ht="1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spans="1:23" s="7" customFormat="1" ht="1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spans="1:23" s="7" customFormat="1" ht="1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spans="1:23" s="7" customFormat="1" ht="1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spans="1:23" s="7" customFormat="1" ht="1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spans="1:23" s="7" customFormat="1" ht="1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spans="1:23" s="7" customFormat="1" ht="1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spans="1:23" s="7" customFormat="1" ht="1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spans="1:23" s="7" customFormat="1" ht="1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spans="1:23" s="7" customFormat="1" ht="1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spans="1:23" s="7" customFormat="1" ht="1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spans="1:23" s="7" customFormat="1" ht="1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spans="1:23" s="7" customFormat="1" ht="1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spans="1:23" s="7" customFormat="1" ht="1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spans="1:23" s="7" customFormat="1" ht="1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spans="1:23" s="7" customFormat="1" ht="1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spans="1:23" s="7" customFormat="1" ht="1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spans="1:23" s="7" customFormat="1" ht="1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spans="1:23" s="7" customFormat="1" ht="1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spans="1:23" s="7" customFormat="1" ht="1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spans="1:23" s="7" customFormat="1" ht="1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spans="1:23" s="7" customFormat="1" ht="1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spans="1:23" s="7" customFormat="1" ht="1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spans="1:23" s="7" customFormat="1" ht="1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spans="1:23" s="7" customFormat="1" ht="1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spans="1:23" s="7" customFormat="1" ht="1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spans="1:23" s="7" customFormat="1" ht="1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spans="1:23" s="7" customFormat="1" ht="1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spans="1:23" s="7" customFormat="1" ht="1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spans="1:23" s="7" customFormat="1" ht="1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spans="1:23" s="7" customFormat="1" ht="1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spans="1:23" s="7" customFormat="1" ht="1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spans="1:23" s="7" customFormat="1" ht="1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spans="1:23" s="7" customFormat="1" ht="1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spans="1:23" s="7" customFormat="1" ht="1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spans="1:23" s="7" customFormat="1" ht="1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spans="1:23" s="7" customFormat="1" ht="1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spans="1:23" s="7" customFormat="1" ht="1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spans="1:23" s="7" customFormat="1" ht="1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spans="1:23" s="7" customFormat="1" ht="1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spans="1:23" s="7" customFormat="1" ht="1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spans="1:23" s="7" customFormat="1" ht="1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spans="1:23" s="7" customFormat="1" ht="1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spans="1:23" s="7" customFormat="1" ht="1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spans="1:23" s="7" customFormat="1" ht="1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spans="1:23" s="7" customFormat="1" ht="1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spans="1:23" s="7" customFormat="1" ht="1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spans="1:23" s="7" customFormat="1" ht="1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spans="1:23" s="7" customFormat="1" ht="1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spans="1:23" s="7" customFormat="1" ht="1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spans="1:23" s="7" customFormat="1" ht="1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spans="1:23" s="7" customFormat="1" ht="1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spans="1:23" s="7" customFormat="1" ht="1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spans="1:23" s="7" customFormat="1" ht="1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spans="1:23" s="7" customFormat="1" ht="1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spans="1:23" s="7" customFormat="1" ht="1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spans="1:23" s="7" customFormat="1" ht="1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spans="1:23" s="7" customFormat="1" ht="1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spans="1:23" s="7" customFormat="1" ht="1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spans="1:23" s="7" customFormat="1" ht="1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spans="1:23" s="7" customFormat="1" ht="1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spans="1:23" s="7" customFormat="1" ht="1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spans="1:23" s="7" customFormat="1" ht="1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spans="1:23" s="7" customFormat="1" ht="1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spans="1:23" s="7" customFormat="1" ht="1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spans="1:23" s="7" customFormat="1" ht="1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spans="1:23" s="7" customFormat="1" ht="1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spans="1:23" s="7" customFormat="1" ht="1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spans="1:23" s="7" customFormat="1" ht="1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spans="1:23" s="7" customFormat="1" ht="1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spans="1:23" s="7" customFormat="1" ht="1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spans="1:23" s="7" customFormat="1" ht="1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spans="1:23" s="7" customFormat="1" ht="1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spans="1:23" s="7" customFormat="1" ht="1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spans="1:23" s="7" customFormat="1" ht="1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spans="1:23" s="7" customFormat="1" ht="1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spans="1:23" s="7" customFormat="1" ht="1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spans="1:23" s="7" customFormat="1" ht="1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spans="1:23" s="7" customFormat="1" ht="1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spans="1:23" s="7" customFormat="1" ht="1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spans="1:23" s="7" customFormat="1" ht="1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spans="1:23" s="7" customFormat="1" ht="1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spans="1:23" s="7" customFormat="1" ht="1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spans="1:23" s="7" customFormat="1" ht="1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spans="1:23" s="7" customFormat="1" ht="1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spans="1:23" s="7" customFormat="1" ht="1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spans="1:23" s="7" customFormat="1" ht="1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spans="1:23" s="7" customFormat="1" ht="1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spans="1:23" s="7" customFormat="1" ht="1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spans="1:23" s="7" customFormat="1" ht="1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spans="1:23" s="7" customFormat="1" ht="1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spans="1:23" s="7" customFormat="1" ht="1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spans="1:23" s="7" customFormat="1" ht="1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spans="1:23" s="7" customFormat="1" ht="1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spans="1:23" s="7" customFormat="1" ht="1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spans="1:23" s="7" customFormat="1" ht="1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spans="1:23" s="7" customFormat="1" ht="1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spans="1:23" s="7" customFormat="1" ht="1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spans="1:23" s="7" customFormat="1" ht="1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spans="1:23" s="7" customFormat="1" ht="1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spans="1:23" s="7" customFormat="1" ht="1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spans="1:23" s="7" customFormat="1" ht="1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spans="1:23" s="7" customFormat="1" ht="1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spans="1:23" s="7" customFormat="1" ht="1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spans="1:23" s="7" customFormat="1" ht="1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spans="1:23" s="7" customFormat="1" ht="1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spans="1:23" s="7" customFormat="1" ht="1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spans="1:23" s="7" customFormat="1" ht="1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spans="1:23" s="7" customFormat="1" ht="1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spans="1:23" s="7" customFormat="1" ht="1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spans="1:23" s="7" customFormat="1" ht="1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spans="1:23" s="7" customFormat="1" ht="1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spans="1:23" s="7" customFormat="1" ht="1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spans="1:23" s="7" customFormat="1" ht="1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spans="1:23" s="7" customFormat="1" ht="1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spans="1:23" s="7" customFormat="1" ht="1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spans="1:23" s="7" customFormat="1" ht="1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spans="1:23" s="7" customFormat="1" ht="1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spans="1:23" s="7" customFormat="1" ht="1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spans="1:23" s="7" customFormat="1" ht="1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spans="1:23" s="7" customFormat="1" ht="1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spans="1:23" s="7" customFormat="1" ht="1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spans="1:23" s="7" customFormat="1" ht="1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spans="1:23" s="7" customFormat="1" ht="1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spans="1:23" s="7" customFormat="1" ht="1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spans="1:23" s="7" customFormat="1" ht="1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spans="1:23" s="7" customFormat="1" ht="1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spans="1:23" s="7" customFormat="1" ht="1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spans="1:23" s="7" customFormat="1" ht="1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spans="1:23" s="7" customFormat="1" ht="1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spans="1:23" s="7" customFormat="1" ht="1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spans="1:23" s="7" customFormat="1" ht="1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spans="1:23" s="7" customFormat="1" ht="1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spans="1:23" s="7" customFormat="1" ht="1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spans="1:23" s="7" customFormat="1" ht="1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spans="1:23" s="7" customFormat="1" ht="1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spans="1:23" s="7" customFormat="1" ht="1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spans="1:23" s="7" customFormat="1" ht="1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spans="1:23" s="7" customFormat="1" ht="1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spans="1:23" s="7" customFormat="1" ht="1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spans="1:23" s="7" customFormat="1" ht="1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spans="1:23" s="7" customFormat="1" ht="1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spans="1:23" s="7" customFormat="1" ht="1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spans="1:23" s="7" customFormat="1" ht="1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spans="1:23" s="7" customFormat="1" ht="1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spans="1:23" s="7" customFormat="1" ht="1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spans="1:23" s="7" customFormat="1" ht="1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spans="1:23" s="7" customFormat="1" ht="1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spans="1:23" s="7" customFormat="1" ht="1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spans="1:23" s="7" customFormat="1" ht="1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spans="1:23" s="7" customFormat="1" ht="1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spans="1:23" s="7" customFormat="1" ht="1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spans="1:23" s="7" customFormat="1" ht="1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spans="1:23" s="7" customFormat="1" ht="1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spans="1:23" s="7" customFormat="1" ht="1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spans="1:23" s="7" customFormat="1" ht="1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spans="1:23" s="7" customFormat="1" ht="1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spans="1:23" s="7" customFormat="1" ht="1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spans="1:23" s="7" customFormat="1" ht="1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spans="1:23" s="7" customFormat="1" ht="1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spans="1:23" s="7" customFormat="1" ht="1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spans="1:23" s="7" customFormat="1" ht="1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spans="1:23" s="7" customFormat="1" ht="1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spans="1:23" s="7" customFormat="1" ht="1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spans="1:23" s="7" customFormat="1" ht="1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spans="1:23" s="7" customFormat="1" ht="1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spans="1:23" s="7" customFormat="1" ht="1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spans="1:23" s="7" customFormat="1" ht="1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spans="1:23" s="7" customFormat="1" ht="1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spans="1:23" s="7" customFormat="1" ht="1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spans="1:23" s="7" customFormat="1" ht="1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spans="1:23" s="7" customFormat="1" ht="1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spans="1:23" s="7" customFormat="1" ht="1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spans="1:23" s="7" customFormat="1" ht="1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spans="1:23" s="7" customFormat="1" ht="1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spans="1:23" s="7" customFormat="1" ht="1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spans="1:23" s="7" customFormat="1" ht="1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spans="1:23" s="7" customFormat="1" ht="1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spans="1:23" s="7" customFormat="1" ht="1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spans="1:23" s="7" customFormat="1" ht="1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spans="1:23" s="7" customFormat="1" ht="1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spans="1:23" s="7" customFormat="1" ht="1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spans="1:23" s="7" customFormat="1" ht="1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spans="1:23" s="7" customFormat="1" ht="1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spans="1:23" s="7" customFormat="1" ht="1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spans="1:23" s="7" customFormat="1" ht="1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spans="1:23" s="7" customFormat="1" ht="1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spans="1:23" s="7" customFormat="1" ht="1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spans="1:23" s="7" customFormat="1" ht="1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spans="1:23" s="7" customFormat="1" ht="1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spans="1:23" s="7" customFormat="1" ht="1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spans="1:23" s="7" customFormat="1" ht="1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spans="1:23" s="7" customFormat="1" ht="1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spans="1:23" s="7" customFormat="1" ht="1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spans="1:23" s="7" customFormat="1" ht="1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spans="1:23" s="7" customFormat="1" ht="1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spans="1:23" s="7" customFormat="1" ht="1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spans="1:23" s="7" customFormat="1" ht="1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spans="1:23" s="7" customFormat="1" ht="1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spans="1:23" s="7" customFormat="1" ht="1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spans="1:23" s="7" customFormat="1" ht="1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spans="1:23" s="7" customFormat="1" ht="1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spans="1:23" s="7" customFormat="1" ht="1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spans="1:23" s="7" customFormat="1" ht="1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spans="1:23" s="7" customFormat="1" ht="1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spans="1:23" s="7" customFormat="1" ht="1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spans="1:23" s="7" customFormat="1" ht="1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spans="1:23" s="7" customFormat="1" ht="1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spans="1:23" s="7" customFormat="1" ht="1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spans="1:23" s="7" customFormat="1" ht="1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spans="1:23" s="7" customFormat="1" ht="1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spans="1:23" s="7" customFormat="1" ht="1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spans="1:23" s="7" customFormat="1" ht="1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spans="1:23" s="7" customFormat="1" ht="1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spans="1:23" s="7" customFormat="1" ht="1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spans="1:23" s="7" customFormat="1" ht="1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spans="1:23" s="7" customFormat="1" ht="1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spans="1:23" s="7" customFormat="1" ht="1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spans="1:23" s="7" customFormat="1" ht="1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spans="1:23" s="7" customFormat="1" ht="1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spans="1:23" s="7" customFormat="1" ht="1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spans="1:23" s="7" customFormat="1" ht="1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spans="1:23" s="7" customFormat="1" ht="1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spans="1:23" s="7" customFormat="1" ht="1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spans="1:23" s="7" customFormat="1" ht="1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spans="1:23" s="7" customFormat="1" ht="1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spans="1:23" s="7" customFormat="1" ht="1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spans="1:23" s="7" customFormat="1" ht="1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spans="1:23" s="7" customFormat="1" ht="1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spans="1:23" s="7" customFormat="1" ht="1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spans="1:23" s="7" customFormat="1" ht="1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spans="1:23" s="7" customFormat="1" ht="1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spans="1:23" s="7" customFormat="1" ht="1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spans="1:23" s="7" customFormat="1" ht="1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spans="1:23" s="7" customFormat="1" ht="1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spans="1:23" s="7" customFormat="1" ht="1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spans="1:23" s="7" customFormat="1" ht="1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spans="1:23" s="7" customFormat="1" ht="1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spans="1:23" s="7" customFormat="1" ht="1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spans="1:23" s="7" customFormat="1" ht="1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spans="1:23" s="7" customFormat="1" ht="1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spans="1:23" s="7" customFormat="1" ht="1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spans="1:23" s="7" customFormat="1" ht="1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spans="1:23" s="7" customFormat="1" ht="1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spans="1:23" s="7" customFormat="1" ht="1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spans="1:23" s="7" customFormat="1" ht="1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spans="1:23" s="7" customFormat="1" ht="1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spans="1:23" s="7" customFormat="1" ht="1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spans="1:23" s="7" customFormat="1" ht="1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spans="1:23" s="7" customFormat="1" ht="1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spans="1:23" s="7" customFormat="1" ht="1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spans="1:23" s="7" customFormat="1" ht="1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spans="1:23" s="7" customFormat="1" ht="1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spans="1:23" s="7" customFormat="1" ht="1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spans="1:23" s="7" customFormat="1" ht="1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spans="1:23" s="7" customFormat="1" ht="1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spans="1:23" s="7" customFormat="1" ht="1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spans="1:23" s="7" customFormat="1" ht="1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spans="1:23" s="7" customFormat="1" ht="1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spans="1:23" s="7" customFormat="1" ht="1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spans="1:23" s="7" customFormat="1" ht="1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spans="1:23" s="7" customFormat="1" ht="1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spans="1:23" s="7" customFormat="1" ht="1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spans="1:23" s="7" customFormat="1" ht="1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spans="1:23" s="7" customFormat="1" ht="1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spans="1:23" s="7" customFormat="1" ht="1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spans="1:23" s="7" customFormat="1" ht="1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spans="1:23" s="7" customFormat="1" ht="1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spans="1:23" s="7" customFormat="1" ht="1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spans="1:23" s="7" customFormat="1" ht="1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spans="1:23" s="7" customFormat="1" ht="1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spans="1:23" s="7" customFormat="1" ht="1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spans="1:23" s="7" customFormat="1" ht="1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spans="1:23" s="7" customFormat="1" ht="1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spans="1:23" s="7" customFormat="1" ht="1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spans="1:23" s="7" customFormat="1" ht="1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spans="1:23" s="7" customFormat="1" ht="1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spans="1:23" s="7" customFormat="1" ht="1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spans="1:23" s="7" customFormat="1" ht="1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spans="1:23" s="7" customFormat="1" ht="1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spans="1:23" s="7" customFormat="1" ht="1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spans="1:23" s="7" customFormat="1" ht="1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spans="1:23" s="7" customFormat="1" ht="1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spans="1:23" s="7" customFormat="1" ht="1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spans="1:23" s="7" customFormat="1" ht="1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spans="1:23" s="7" customFormat="1" ht="1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spans="1:23" s="7" customFormat="1" ht="1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spans="1:23" s="7" customFormat="1" ht="1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spans="1:23" s="7" customFormat="1" ht="1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spans="1:23" s="7" customFormat="1" ht="1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spans="1:23" s="7" customFormat="1" ht="1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spans="1:23" s="7" customFormat="1" ht="1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spans="1:23" s="7" customFormat="1" ht="1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spans="1:23" s="7" customFormat="1" ht="1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spans="1:23" s="7" customFormat="1" ht="1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spans="1:23" s="7" customFormat="1" ht="1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spans="1:23" s="7" customFormat="1" ht="1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spans="1:23" s="7" customFormat="1" ht="1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spans="1:23" s="7" customFormat="1" ht="1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spans="1:23" s="7" customFormat="1" ht="1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spans="1:23" s="7" customFormat="1" ht="1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spans="1:23" s="7" customFormat="1" ht="1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spans="1:23" s="7" customFormat="1" ht="1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spans="1:23" s="7" customFormat="1" ht="1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spans="1:23" s="7" customFormat="1" ht="1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spans="1:23" s="7" customFormat="1" ht="1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spans="1:23" s="7" customFormat="1" ht="1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spans="1:23" s="7" customFormat="1" ht="1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spans="1:23" s="7" customFormat="1" ht="1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spans="1:23" s="7" customFormat="1" ht="1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spans="1:23" s="7" customFormat="1" ht="1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spans="1:23" s="7" customFormat="1" ht="1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spans="1:23" s="7" customFormat="1" ht="1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spans="1:23" s="7" customFormat="1" ht="1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spans="1:23" s="7" customFormat="1" ht="1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spans="1:23" s="7" customFormat="1" ht="1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spans="1:23" s="7" customFormat="1" ht="1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spans="1:23" s="7" customFormat="1" ht="1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spans="1:23" s="7" customFormat="1" ht="1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spans="1:23" s="7" customFormat="1" ht="1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spans="1:23" s="7" customFormat="1" ht="1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spans="1:23" s="7" customFormat="1" ht="1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spans="1:23" s="7" customFormat="1" ht="1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spans="1:23" s="7" customFormat="1" ht="1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spans="1:23" s="7" customFormat="1" ht="1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spans="1:23" s="7" customFormat="1" ht="1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spans="1:23" s="7" customFormat="1" ht="1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spans="1:23" s="7" customFormat="1" ht="1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spans="1:23" s="7" customFormat="1" ht="1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spans="1:23" s="7" customFormat="1" ht="1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spans="1:23" s="7" customFormat="1" ht="1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spans="1:23" s="7" customFormat="1" ht="1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spans="1:23" s="7" customFormat="1" ht="1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spans="1:23" s="7" customFormat="1" ht="1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spans="1:23" s="7" customFormat="1" ht="1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spans="1:23" s="7" customFormat="1" ht="1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spans="1:23" s="7" customFormat="1" ht="1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spans="1:23" s="7" customFormat="1" ht="1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spans="1:23" s="7" customFormat="1" ht="1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spans="1:23" s="7" customFormat="1" ht="1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spans="1:23" s="7" customFormat="1" ht="1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spans="1:23" s="7" customFormat="1" ht="1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spans="1:23" s="7" customFormat="1" ht="1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spans="1:23" s="7" customFormat="1" ht="1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spans="1:23" s="7" customFormat="1" ht="1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spans="1:23" s="7" customFormat="1" ht="1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spans="1:23" s="7" customFormat="1" ht="1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spans="1:23" s="7" customFormat="1" ht="1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spans="1:23" s="7" customFormat="1" ht="1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spans="1:23" s="7" customFormat="1" ht="1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spans="1:23" s="7" customFormat="1" ht="1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spans="1:23" s="7" customFormat="1" ht="1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spans="1:23" s="7" customFormat="1" ht="1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spans="1:23" s="7" customFormat="1" ht="1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spans="1:23" s="7" customFormat="1" ht="1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spans="1:23" s="7" customFormat="1" ht="1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spans="1:23" s="7" customFormat="1" ht="1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spans="1:23" s="7" customFormat="1" ht="1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spans="1:23" s="7" customFormat="1" ht="1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spans="1:23" s="7" customFormat="1" ht="1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spans="1:23" s="7" customFormat="1" ht="1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spans="1:23" s="7" customFormat="1" ht="1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spans="1:23" s="7" customFormat="1" ht="1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spans="1:23" s="7" customFormat="1" ht="1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spans="1:23" s="7" customFormat="1" ht="1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spans="1:23" s="7" customFormat="1" ht="1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spans="1:23" s="7" customFormat="1" ht="1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spans="1:23" s="7" customFormat="1" ht="1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spans="1:23" s="7" customFormat="1" ht="1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spans="1:23" s="7" customFormat="1" ht="1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spans="1:23" s="7" customFormat="1" ht="1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spans="1:23" s="7" customFormat="1" ht="1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spans="1:23" s="7" customFormat="1" ht="1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spans="1:23" s="7" customFormat="1" ht="1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spans="1:23" s="7" customFormat="1" ht="1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spans="1:23" s="7" customFormat="1" ht="1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spans="1:23" s="7" customFormat="1" ht="1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spans="1:23" s="7" customFormat="1" ht="1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spans="1:23" s="7" customFormat="1" ht="1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spans="1:23" s="7" customFormat="1" ht="1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spans="1:23" s="7" customFormat="1" ht="1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spans="1:23" s="7" customFormat="1" ht="1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spans="1:23" s="7" customFormat="1" ht="1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spans="1:23" s="7" customFormat="1" ht="1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spans="1:23" s="7" customFormat="1" ht="1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spans="1:23" s="7" customFormat="1" ht="1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spans="1:23" s="7" customFormat="1" ht="1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spans="1:23" s="7" customFormat="1" ht="1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spans="1:23" s="7" customFormat="1" ht="1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spans="1:23" s="7" customFormat="1" ht="1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spans="1:23" s="7" customFormat="1" ht="1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spans="1:23" s="7" customFormat="1" ht="1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spans="1:23" s="7" customFormat="1" ht="1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spans="1:23" s="7" customFormat="1" ht="1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spans="1:23" s="7" customFormat="1" ht="1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spans="1:23" s="7" customFormat="1" ht="1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spans="1:23" s="7" customFormat="1" ht="1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spans="1:23" s="7" customFormat="1" ht="1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spans="1:23" s="7" customFormat="1" ht="1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spans="1:23" s="7" customFormat="1" ht="1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spans="1:23" s="7" customFormat="1" ht="1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spans="1:23" s="7" customFormat="1" ht="1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spans="1:23" s="7" customFormat="1" ht="1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spans="1:23" s="7" customFormat="1" ht="1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spans="1:23" s="7" customFormat="1" ht="1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spans="1:23" s="7" customFormat="1" ht="1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spans="1:23" s="7" customFormat="1" ht="1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spans="1:23" s="7" customFormat="1" ht="1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spans="1:23" s="7" customFormat="1" ht="1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spans="1:23" s="7" customFormat="1" ht="1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spans="1:23" s="7" customFormat="1" ht="1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spans="1:23" s="7" customFormat="1" ht="1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spans="1:23" s="7" customFormat="1" ht="1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spans="1:23" s="7" customFormat="1" ht="1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spans="1:23" s="7" customFormat="1" ht="1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spans="1:23" s="7" customFormat="1" ht="1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spans="1:23" s="7" customFormat="1" ht="1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spans="1:23" s="7" customFormat="1" ht="1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spans="1:23" s="7" customFormat="1" ht="1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spans="1:23" s="7" customFormat="1" ht="1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spans="1:23" s="7" customFormat="1" ht="1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spans="1:23" s="7" customFormat="1" ht="1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spans="1:23" s="7" customFormat="1" ht="1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spans="1:23" s="7" customFormat="1" ht="1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spans="1:23" s="7" customFormat="1" ht="1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spans="1:23" s="7" customFormat="1" ht="1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spans="1:23" s="7" customFormat="1" ht="1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spans="1:23" s="7" customFormat="1" ht="1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spans="1:23" s="7" customFormat="1" ht="1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spans="1:23" s="7" customFormat="1" ht="1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spans="1:23" s="7" customFormat="1" ht="1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spans="1:23" s="7" customFormat="1" ht="1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spans="1:23" s="7" customFormat="1" ht="1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spans="1:23" s="7" customFormat="1" ht="1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spans="1:23" s="7" customFormat="1" ht="1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spans="1:23" s="7" customFormat="1" ht="1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spans="1:23" s="7" customFormat="1" ht="1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spans="1:23" s="7" customFormat="1" ht="1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spans="1:23" s="7" customFormat="1" ht="1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spans="1:23" s="7" customFormat="1" ht="1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spans="1:23" s="7" customFormat="1" ht="1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spans="1:23" s="7" customFormat="1" ht="1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spans="1:23" s="7" customFormat="1" ht="1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spans="1:23" s="7" customFormat="1" ht="1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spans="1:23" s="7" customFormat="1" ht="1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spans="1:23" s="7" customFormat="1" ht="1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spans="1:23" s="7" customFormat="1" ht="1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spans="1:23" s="7" customFormat="1" ht="1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spans="1:23" s="7" customFormat="1" ht="1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spans="1:23" s="7" customFormat="1" ht="1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spans="1:23" s="7" customFormat="1" ht="1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spans="1:23" s="7" customFormat="1" ht="1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spans="1:23" s="7" customFormat="1" ht="1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spans="1:23" s="7" customFormat="1" ht="1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spans="1:23" s="7" customFormat="1" ht="1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spans="1:23" s="7" customFormat="1" ht="1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spans="1:23" s="7" customFormat="1" ht="1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spans="1:23" s="7" customFormat="1" ht="1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spans="1:23" s="7" customFormat="1" ht="1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spans="1:23" s="7" customFormat="1" ht="1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spans="1:23" s="7" customFormat="1" ht="1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spans="1:23" s="7" customFormat="1" ht="1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spans="1:23" s="7" customFormat="1" ht="1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spans="1:23" s="7" customFormat="1" ht="1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spans="1:23" s="7" customFormat="1" ht="1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spans="1:23" s="7" customFormat="1" ht="1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spans="1:23" s="7" customFormat="1" ht="1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spans="1:23" s="7" customFormat="1" ht="1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spans="1:23" s="7" customFormat="1" ht="1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spans="1:23" s="7" customFormat="1" ht="1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spans="1:23" s="7" customFormat="1" ht="1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spans="1:23" s="7" customFormat="1" ht="1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spans="1:23" s="7" customFormat="1" ht="1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spans="1:23" s="7" customFormat="1" ht="1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spans="1:23" s="7" customFormat="1" ht="1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spans="1:23" s="7" customFormat="1" ht="1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spans="1:23" s="7" customFormat="1" ht="1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spans="1:23" s="7" customFormat="1" ht="1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spans="1:23" s="7" customFormat="1" ht="1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spans="1:23" s="7" customFormat="1" ht="1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spans="1:23" s="7" customFormat="1" ht="1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spans="1:23" s="7" customFormat="1" ht="1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spans="1:23" s="7" customFormat="1" ht="1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spans="1:23" s="7" customFormat="1" ht="1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spans="1:23" s="7" customFormat="1" ht="1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spans="1:23" s="7" customFormat="1" ht="1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spans="1:23" s="7" customFormat="1" ht="1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spans="1:23" s="7" customFormat="1" ht="1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spans="1:23" s="7" customFormat="1" ht="1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spans="1:23" s="7" customFormat="1" ht="1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spans="1:23" s="7" customFormat="1" ht="1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spans="1:23" s="7" customFormat="1" ht="1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spans="1:23" s="7" customFormat="1" ht="1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spans="1:23" s="7" customFormat="1" ht="1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spans="1:23" s="7" customFormat="1" ht="1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spans="1:23" s="7" customFormat="1" ht="1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spans="1:23" s="7" customFormat="1" ht="1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spans="1:23" s="7" customFormat="1" ht="1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spans="1:23" s="7" customFormat="1" ht="1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spans="1:23" s="7" customFormat="1" ht="1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spans="1:23" s="7" customFormat="1" ht="1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spans="1:23" s="7" customFormat="1" ht="1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spans="1:23" s="7" customFormat="1" ht="1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spans="1:23" s="7" customFormat="1" ht="1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spans="1:23" s="7" customFormat="1" ht="1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spans="1:23" s="7" customFormat="1" ht="1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spans="1:23" s="7" customFormat="1" ht="1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spans="1:23" s="7" customFormat="1" ht="1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spans="1:23" s="7" customFormat="1" ht="1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spans="1:23" s="7" customFormat="1" ht="1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spans="1:23" s="7" customFormat="1" ht="1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spans="1:23" s="7" customFormat="1" ht="1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spans="1:23" s="7" customFormat="1" ht="1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spans="1:23" s="7" customFormat="1" ht="1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spans="1:23" s="7" customFormat="1" ht="1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spans="1:23" s="7" customFormat="1" ht="1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spans="1:23" s="7" customFormat="1" ht="1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spans="1:23" s="7" customFormat="1" ht="1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spans="1:23" s="7" customFormat="1" ht="1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spans="1:23" s="7" customFormat="1" ht="1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spans="1:23" s="7" customFormat="1" ht="1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spans="1:23" s="7" customFormat="1" ht="1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spans="1:23" s="7" customFormat="1" ht="1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spans="1:23" s="7" customFormat="1" ht="1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spans="1:23" s="7" customFormat="1" ht="1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spans="1:23" s="7" customFormat="1" ht="1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spans="1:23" s="7" customFormat="1" ht="1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spans="1:23" s="7" customFormat="1" ht="1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spans="1:23" s="7" customFormat="1" ht="1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spans="1:23" s="7" customFormat="1" ht="1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spans="1:23" s="7" customFormat="1" ht="1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spans="1:23" s="7" customFormat="1" ht="1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spans="1:23" s="7" customFormat="1" ht="1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spans="1:23" s="7" customFormat="1" ht="1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spans="1:23" s="7" customFormat="1" ht="1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spans="1:23" s="7" customFormat="1" ht="1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spans="1:23" s="7" customFormat="1" ht="1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spans="1:23" s="7" customFormat="1" ht="1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spans="1:23" s="7" customFormat="1" ht="1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spans="1:23" s="7" customFormat="1" ht="1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spans="1:23" s="7" customFormat="1" ht="1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spans="1:23" s="7" customFormat="1" ht="1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spans="1:23" s="7" customFormat="1" ht="1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spans="1:23" s="7" customFormat="1" ht="1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spans="1:23" s="7" customFormat="1" ht="1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spans="1:23" s="7" customFormat="1" ht="1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spans="1:23" s="7" customFormat="1" ht="1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spans="1:23" s="7" customFormat="1" ht="1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spans="1:23" s="7" customFormat="1" ht="1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spans="1:23" s="7" customFormat="1" ht="1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spans="1:23" s="7" customFormat="1" ht="1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spans="1:23" s="7" customFormat="1" ht="1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spans="1:23" s="7" customFormat="1" ht="1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spans="1:23" s="7" customFormat="1" ht="1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spans="1:23" s="7" customFormat="1" ht="1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spans="1:23" s="7" customFormat="1" ht="1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spans="1:23" s="7" customFormat="1" ht="1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spans="1:23" s="7" customFormat="1" ht="1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spans="1:23" s="7" customFormat="1" ht="1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spans="1:23" s="7" customFormat="1" ht="1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spans="1:23" s="7" customFormat="1" ht="1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spans="1:23" s="7" customFormat="1" ht="1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spans="1:23" s="7" customFormat="1" ht="1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spans="1:23" s="7" customFormat="1" ht="1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spans="1:23" s="7" customFormat="1" ht="1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spans="1:23" s="7" customFormat="1" ht="1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spans="1:23" s="7" customFormat="1" ht="1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spans="1:23" s="7" customFormat="1" ht="1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spans="1:23" s="7" customFormat="1" ht="1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spans="1:23" s="7" customFormat="1" ht="1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spans="1:23" s="7" customFormat="1" ht="1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spans="1:23" s="7" customFormat="1" ht="1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spans="1:23" s="7" customFormat="1" ht="1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spans="1:23" s="7" customFormat="1" ht="1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spans="1:23" s="7" customFormat="1" ht="1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spans="1:23" s="7" customFormat="1" ht="1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spans="1:23" s="7" customFormat="1" ht="1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spans="1:23" s="7" customFormat="1" ht="1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spans="1:23" s="7" customFormat="1" ht="1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spans="1:23" s="7" customFormat="1" ht="1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spans="1:23" s="7" customFormat="1" ht="1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spans="1:23" s="7" customFormat="1" ht="1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spans="1:23" s="7" customFormat="1" ht="1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spans="1:23" s="7" customFormat="1" ht="1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spans="1:23" s="7" customFormat="1" ht="1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spans="1:23" s="7" customFormat="1" ht="1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spans="1:23" s="7" customFormat="1" ht="1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spans="1:23" s="7" customFormat="1" ht="1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spans="1:23" s="7" customFormat="1" ht="1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spans="1:23" s="7" customFormat="1" ht="1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spans="1:23" s="7" customFormat="1" ht="1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spans="1:23" s="7" customFormat="1" ht="1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spans="1:23" s="7" customFormat="1" ht="1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spans="1:23" s="7" customFormat="1" ht="1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spans="1:23" s="7" customFormat="1" ht="1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spans="1:23" s="7" customFormat="1" ht="1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spans="1:23" s="7" customFormat="1" ht="1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spans="1:23" s="7" customFormat="1" ht="1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spans="1:23" s="7" customFormat="1" ht="1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spans="1:23" s="7" customFormat="1" ht="1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spans="1:23" s="7" customFormat="1" ht="1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spans="1:23" s="7" customFormat="1" ht="1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spans="1:23" s="7" customFormat="1" ht="1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spans="1:23" s="7" customFormat="1" ht="1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spans="1:23" s="7" customFormat="1" ht="1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spans="1:23" s="7" customFormat="1" ht="1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spans="1:23" s="7" customFormat="1" ht="1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spans="1:23" s="7" customFormat="1" ht="1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spans="1:23" s="7" customFormat="1" ht="1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spans="1:23" s="7" customFormat="1" ht="1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spans="1:23" s="7" customFormat="1" ht="1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spans="1:23" s="7" customFormat="1" ht="1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spans="1:23" s="7" customFormat="1" ht="1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spans="1:23" s="7" customFormat="1" ht="1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spans="1:23" s="7" customFormat="1" ht="1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spans="1:23" s="7" customFormat="1" ht="1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spans="1:23" s="7" customFormat="1" ht="1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spans="1:23" s="7" customFormat="1" ht="1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spans="1:23" s="7" customFormat="1" ht="1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spans="1:23" s="7" customFormat="1" ht="1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spans="1:23" s="7" customFormat="1" ht="1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spans="1:23" s="7" customFormat="1" ht="1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spans="1:23" s="7" customFormat="1" ht="1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spans="1:23" s="7" customFormat="1" ht="1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spans="1:23" s="7" customFormat="1" ht="1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spans="1:23" s="7" customFormat="1" ht="1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spans="1:23" s="7" customFormat="1" ht="1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spans="1:23" s="7" customFormat="1" ht="1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spans="1:23" s="7" customFormat="1" ht="1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spans="1:23" s="7" customFormat="1" ht="1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spans="1:23" s="7" customFormat="1" ht="1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spans="1:23" s="7" customFormat="1" ht="1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spans="1:23" s="7" customFormat="1" ht="1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spans="1:23" s="7" customFormat="1" ht="1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spans="1:23" s="7" customFormat="1" ht="1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spans="1:23" s="7" customFormat="1" ht="1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spans="1:23" s="7" customFormat="1" ht="1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spans="1:23" s="7" customFormat="1" ht="1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spans="1:23" s="7" customFormat="1" ht="1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spans="1:23" s="7" customFormat="1" ht="1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spans="1:23" s="7" customFormat="1" ht="1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spans="1:23" s="7" customFormat="1" ht="1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spans="1:23" s="7" customFormat="1" ht="1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spans="1:23" s="7" customFormat="1" ht="1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spans="1:23" s="7" customFormat="1" ht="1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spans="1:23" s="7" customFormat="1" ht="1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spans="1:23" s="7" customFormat="1" ht="1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spans="1:23" s="7" customFormat="1" ht="1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spans="1:23" s="7" customFormat="1" ht="1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spans="1:23" s="7" customFormat="1" ht="1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spans="1:23" s="7" customFormat="1" ht="1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spans="1:23" s="7" customFormat="1" ht="1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spans="1:23" s="7" customFormat="1" ht="1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spans="1:23" s="7" customFormat="1" ht="1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spans="1:23" s="7" customFormat="1" ht="1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spans="1:23" s="7" customFormat="1" ht="1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spans="1:23" s="7" customFormat="1" ht="1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spans="1:23" s="7" customFormat="1" ht="1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spans="1:23" s="7" customFormat="1" ht="1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spans="1:23" s="7" customFormat="1" ht="1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spans="1:23" s="7" customFormat="1" ht="1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spans="1:23" s="7" customFormat="1" ht="1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spans="1:23" s="7" customFormat="1" ht="1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spans="1:23" s="7" customFormat="1" ht="1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spans="1:23" s="7" customFormat="1" ht="1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spans="1:23" s="7" customFormat="1" ht="1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spans="1:23" s="7" customFormat="1" ht="1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spans="1:23" s="7" customFormat="1" ht="1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spans="1:23" s="7" customFormat="1" ht="1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spans="1:23" s="7" customFormat="1" ht="1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spans="1:23" s="7" customFormat="1" ht="1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spans="1:23" s="7" customFormat="1" ht="1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spans="1:23" s="7" customFormat="1" ht="1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spans="1:23" s="7" customFormat="1" ht="1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spans="1:23" s="7" customFormat="1" ht="1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spans="1:23" s="7" customFormat="1" ht="1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spans="1:23" s="7" customFormat="1" ht="1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spans="1:23" s="7" customFormat="1" ht="1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spans="1:23" s="7" customFormat="1" ht="1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spans="1:23" s="7" customFormat="1" ht="1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spans="1:23" s="7" customFormat="1" ht="1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spans="1:23" s="7" customFormat="1" ht="1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spans="1:23" s="7" customFormat="1" ht="1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spans="1:23" s="7" customFormat="1" ht="1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spans="1:23" s="7" customFormat="1" ht="1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spans="1:23" s="7" customFormat="1" ht="1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spans="1:23" s="7" customFormat="1" ht="1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spans="1:23" s="7" customFormat="1" ht="1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spans="1:23" s="7" customFormat="1" ht="1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spans="1:23" s="7" customFormat="1" ht="1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spans="1:23" s="7" customFormat="1" ht="1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spans="1:23" s="7" customFormat="1" ht="1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spans="1:23" s="7" customFormat="1" ht="1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spans="1:23" s="7" customFormat="1" ht="1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spans="1:23" s="7" customFormat="1" ht="1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spans="1:23" s="7" customFormat="1" ht="1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spans="1:23" s="7" customFormat="1" ht="1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spans="1:23" s="7" customFormat="1" ht="1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spans="1:23" s="7" customFormat="1" ht="1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spans="1:23" s="7" customFormat="1" ht="1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spans="1:23" s="7" customFormat="1" ht="1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spans="1:23" s="7" customFormat="1" ht="1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spans="1:23" s="7" customFormat="1" ht="1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spans="1:23" s="7" customFormat="1" ht="1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spans="1:23" s="7" customFormat="1" ht="1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spans="1:23" s="7" customFormat="1" ht="1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spans="1:23" s="7" customFormat="1" ht="1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spans="1:23" s="7" customFormat="1" ht="1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spans="1:23" s="7" customFormat="1" ht="1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spans="1:23" s="7" customFormat="1" ht="1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spans="1:23" s="7" customFormat="1" ht="1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spans="1:23" s="7" customFormat="1" ht="1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spans="1:23" s="7" customFormat="1" ht="1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spans="1:23" s="7" customFormat="1" ht="1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spans="1:23" s="7" customFormat="1" ht="1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spans="1:23" s="7" customFormat="1" ht="1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spans="1:23" s="7" customFormat="1" ht="1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spans="1:23" s="7" customFormat="1" ht="1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spans="1:23" s="7" customFormat="1" ht="1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spans="1:23" s="7" customFormat="1" ht="1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spans="1:23" s="7" customFormat="1" ht="1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spans="1:23" s="7" customFormat="1" ht="1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spans="1:23" s="7" customFormat="1" ht="1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spans="1:23" s="7" customFormat="1" ht="1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spans="1:23" s="7" customFormat="1" ht="1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spans="1:23" s="7" customFormat="1" ht="1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spans="1:23" s="7" customFormat="1" ht="1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spans="1:23" s="7" customFormat="1" ht="1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spans="1:23" s="7" customFormat="1" ht="1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spans="1:23" s="7" customFormat="1" ht="1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spans="1:23" s="7" customFormat="1" ht="1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spans="1:23" s="7" customFormat="1" ht="1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spans="1:23" s="7" customFormat="1" ht="1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spans="1:23" s="7" customFormat="1" ht="1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spans="1:23" s="7" customFormat="1" ht="1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spans="1:23" s="7" customFormat="1" ht="1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spans="1:23" s="7" customFormat="1" ht="1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spans="1:23" s="7" customFormat="1" ht="1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spans="1:23" s="7" customFormat="1" ht="1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spans="1:23" s="7" customFormat="1" ht="1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spans="1:23" s="7" customFormat="1" ht="1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spans="1:23" s="7" customFormat="1" ht="1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spans="1:23" s="7" customFormat="1" ht="1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spans="1:23" s="7" customFormat="1" ht="1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spans="1:23" s="7" customFormat="1" ht="1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spans="1:23" s="7" customFormat="1" ht="1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spans="1:23" s="7" customFormat="1" ht="1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spans="1:23" s="7" customFormat="1" ht="1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spans="1:23" s="7" customFormat="1" ht="1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spans="1:23" s="7" customFormat="1" ht="1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spans="1:23" s="7" customFormat="1" ht="1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spans="1:23" s="7" customFormat="1" ht="1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spans="1:23" s="7" customFormat="1" ht="1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spans="1:23" s="7" customFormat="1" ht="1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spans="1:23" s="7" customFormat="1" ht="1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spans="1:23" s="7" customFormat="1" ht="1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spans="1:23" s="7" customFormat="1" ht="1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spans="1:23" s="7" customFormat="1" ht="1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spans="1:23" s="7" customFormat="1" ht="1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spans="1:23" s="7" customFormat="1" ht="1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spans="1:23" s="7" customFormat="1" ht="1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spans="1:23" s="7" customFormat="1" ht="1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spans="1:23" s="7" customFormat="1" ht="1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spans="1:23" s="7" customFormat="1" ht="1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spans="1:23" s="7" customFormat="1" ht="1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spans="1:23" s="7" customFormat="1" ht="1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spans="1:23" s="7" customFormat="1" ht="1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spans="1:23" s="7" customFormat="1" ht="1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spans="1:23" s="7" customFormat="1" ht="1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spans="1:23" s="7" customFormat="1" ht="1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spans="1:23" s="7" customFormat="1" ht="1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spans="1:23" s="7" customFormat="1" ht="1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spans="1:23" s="7" customFormat="1" ht="1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spans="1:23" s="7" customFormat="1" ht="1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spans="1:23" s="7" customFormat="1" ht="1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spans="1:23" s="7" customFormat="1" ht="1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spans="1:23" s="7" customFormat="1" ht="1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spans="1:23" s="7" customFormat="1" ht="1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spans="1:23" s="7" customFormat="1" ht="1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spans="1:23" s="7" customFormat="1" ht="1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spans="1:23" s="7" customFormat="1" ht="1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spans="1:23" s="7" customFormat="1" ht="1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spans="1:23" s="7" customFormat="1" ht="1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spans="1:23" s="7" customFormat="1" ht="1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spans="1:23" s="7" customFormat="1" ht="1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spans="1:23" s="7" customFormat="1" ht="1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spans="1:23" s="7" customFormat="1" ht="1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spans="1:23" s="7" customFormat="1" ht="1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spans="1:23" s="7" customFormat="1" ht="1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spans="1:23" s="7" customFormat="1" ht="1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spans="1:23" s="7" customFormat="1" ht="1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spans="1:23" s="7" customFormat="1" ht="1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spans="1:23" s="7" customFormat="1" ht="1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spans="1:23" s="7" customFormat="1" ht="1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spans="1:23" s="7" customFormat="1" ht="1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spans="1:23" s="7" customFormat="1" ht="1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spans="1:23" s="7" customFormat="1" ht="1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spans="1:23" s="7" customFormat="1" ht="1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spans="1:23" s="7" customFormat="1" ht="1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spans="1:23" s="7" customFormat="1" ht="1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spans="1:23" s="7" customFormat="1" ht="1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spans="1:23" s="7" customFormat="1" ht="1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spans="1:23" s="7" customFormat="1" ht="1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spans="1:23" s="7" customFormat="1" ht="1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spans="1:23" s="7" customFormat="1" ht="1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spans="1:23" s="7" customFormat="1" ht="1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spans="1:23" s="7" customFormat="1" ht="1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spans="1:23" s="7" customFormat="1" ht="1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spans="1:23" s="7" customFormat="1" ht="1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spans="1:23" s="7" customFormat="1" ht="1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spans="1:23" s="7" customFormat="1" ht="1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spans="1:23" s="7" customFormat="1" ht="1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spans="1:23" s="7" customFormat="1" ht="1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spans="1:23" s="7" customFormat="1" ht="1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spans="1:23" s="7" customFormat="1" ht="1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spans="1:23" s="7" customFormat="1" ht="1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spans="1:23" s="7" customFormat="1" ht="1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spans="1:23" s="7" customFormat="1" ht="1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spans="1:23" s="7" customFormat="1" ht="1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spans="1:23" s="7" customFormat="1" ht="1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spans="1:23" s="7" customFormat="1" ht="1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spans="1:23" s="7" customFormat="1" ht="1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spans="1:23" s="7" customFormat="1" ht="1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spans="1:23" s="7" customFormat="1" ht="1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spans="1:23" s="7" customFormat="1" ht="1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spans="1:23" s="7" customFormat="1" ht="1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spans="1:23" s="7" customFormat="1" ht="1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spans="1:23" s="7" customFormat="1" ht="1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spans="1:23" s="7" customFormat="1" ht="1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spans="1:23" s="7" customFormat="1" ht="1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spans="1:23" s="7" customFormat="1" ht="1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spans="1:23" s="7" customFormat="1" ht="1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spans="1:23" s="7" customFormat="1" ht="1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spans="1:23" s="7" customFormat="1" ht="1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spans="1:23" s="7" customFormat="1" ht="1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spans="1:23" s="7" customFormat="1" ht="1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spans="1:23" s="7" customFormat="1" ht="1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spans="1:23" s="7" customFormat="1" ht="1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spans="1:23" s="7" customFormat="1" ht="1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spans="1:23" s="7" customFormat="1" ht="1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spans="1:23" s="7" customFormat="1" ht="1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spans="1:23" s="7" customFormat="1" ht="1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spans="1:23" s="7" customFormat="1" ht="1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spans="1:23" s="7" customFormat="1" ht="1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spans="1:23" s="7" customFormat="1" ht="1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spans="1:23" s="7" customFormat="1" ht="1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spans="1:23" s="7" customFormat="1" ht="1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spans="1:23" s="7" customFormat="1" ht="1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spans="1:23" s="7" customFormat="1" ht="1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spans="1:23" s="7" customFormat="1" ht="1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spans="1:23" s="7" customFormat="1" ht="1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spans="1:23" s="7" customFormat="1" ht="1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spans="1:23" s="7" customFormat="1" ht="1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spans="1:23" s="7" customFormat="1" ht="1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spans="1:23" s="7" customFormat="1" ht="1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spans="1:23" s="7" customFormat="1" ht="1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spans="1:23" s="7" customFormat="1" ht="1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spans="1:23" s="7" customFormat="1" ht="1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spans="1:23" s="7" customFormat="1" ht="1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spans="1:23" s="7" customFormat="1" ht="1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spans="1:23" s="7" customFormat="1" ht="1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spans="1:23" s="7" customFormat="1" ht="1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spans="1:23" s="7" customFormat="1" ht="1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spans="1:23" s="7" customFormat="1" ht="1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spans="1:23" s="7" customFormat="1" ht="1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spans="1:23" s="7" customFormat="1" ht="1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spans="1:23" s="7" customFormat="1" ht="1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spans="1:23" s="7" customFormat="1" ht="1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spans="1:23" s="7" customFormat="1" ht="1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spans="1:23" s="7" customFormat="1" ht="1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spans="1:23" s="7" customFormat="1" ht="1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spans="1:23" s="7" customFormat="1" ht="1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spans="1:23" s="7" customFormat="1" ht="1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spans="1:23" s="7" customFormat="1" ht="1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spans="1:23" s="7" customFormat="1" ht="1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spans="1:23" s="7" customFormat="1" ht="1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spans="1:23" s="7" customFormat="1" ht="1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spans="1:23" s="7" customFormat="1" ht="1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spans="1:23" s="7" customFormat="1" ht="1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spans="1:23" s="7" customFormat="1" ht="1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spans="1:23" s="7" customFormat="1" ht="1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spans="1:23" s="7" customFormat="1" ht="1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spans="1:23" s="7" customFormat="1" ht="1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spans="1:23" s="7" customFormat="1" ht="1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spans="1:23" s="7" customFormat="1" ht="1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spans="1:23" s="7" customFormat="1" ht="1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spans="1:23" s="7" customFormat="1" ht="1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spans="1:23" s="7" customFormat="1" ht="1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spans="1:23" s="7" customFormat="1" ht="1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spans="1:23" s="7" customFormat="1" ht="1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spans="1:23" s="7" customFormat="1" ht="1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spans="1:23" s="7" customFormat="1" ht="1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spans="1:23" s="7" customFormat="1" ht="1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spans="1:23" s="7" customFormat="1" ht="1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spans="1:23" s="7" customFormat="1" ht="1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spans="1:23" s="7" customFormat="1" ht="1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spans="1:23" s="7" customFormat="1" ht="1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spans="1:23" s="7" customFormat="1" ht="1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spans="1:23" s="7" customFormat="1" ht="1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spans="1:23" s="7" customFormat="1" ht="1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spans="1:23" s="7" customFormat="1" ht="1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spans="1:23" s="7" customFormat="1" ht="1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spans="1:23" s="7" customFormat="1" ht="1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spans="1:23" s="7" customFormat="1" ht="1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spans="1:23" s="7" customFormat="1" ht="1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spans="1:23" s="7" customFormat="1" ht="1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spans="1:23" s="7" customFormat="1" ht="1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spans="1:23" s="7" customFormat="1" ht="1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spans="1:23" s="7" customFormat="1" ht="1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spans="1:23" s="7" customFormat="1" ht="1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spans="1:23" s="7" customFormat="1" ht="1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spans="1:23" s="7" customFormat="1" ht="1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spans="1:23" s="7" customFormat="1" ht="1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spans="1:23" s="7" customFormat="1" ht="1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spans="1:23" s="7" customFormat="1" ht="1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spans="1:23" s="7" customFormat="1" ht="1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spans="1:23" s="7" customFormat="1" ht="1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spans="1:23" s="7" customFormat="1" ht="1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spans="1:23" s="7" customFormat="1" ht="1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spans="1:23" s="7" customFormat="1" ht="1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spans="1:23" s="7" customFormat="1" ht="1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spans="1:23" s="7" customFormat="1" ht="1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spans="1:23" s="7" customFormat="1" ht="1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spans="1:23" s="7" customFormat="1" ht="1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spans="1:23" s="7" customFormat="1" ht="1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spans="1:23" s="7" customFormat="1" ht="1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spans="1:23" s="7" customFormat="1" ht="1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spans="1:23" s="7" customFormat="1" ht="1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spans="1:23" s="7" customFormat="1" ht="1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spans="1:23" s="7" customFormat="1" ht="1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spans="1:23" s="7" customFormat="1" ht="1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spans="1:23" s="7" customFormat="1" ht="1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spans="1:23" s="7" customFormat="1" ht="1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spans="1:23" s="7" customFormat="1" ht="1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spans="1:23" s="7" customFormat="1" ht="1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spans="1:23" s="7" customFormat="1" ht="1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spans="1:23" s="7" customFormat="1" ht="1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spans="1:23" s="7" customFormat="1" ht="1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spans="1:23" s="7" customFormat="1" ht="1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spans="1:23" s="7" customFormat="1" ht="1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spans="1:23" s="7" customFormat="1" ht="1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spans="1:23" s="7" customFormat="1" ht="1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spans="1:23" s="7" customFormat="1" ht="1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spans="1:23" s="7" customFormat="1" ht="1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spans="1:23" s="7" customFormat="1" ht="1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spans="1:23" s="7" customFormat="1" ht="1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spans="1:23" s="7" customFormat="1" ht="1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spans="1:23" s="7" customFormat="1" ht="1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spans="1:23" s="7" customFormat="1" ht="1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spans="1:23" s="7" customFormat="1" ht="1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spans="1:23" s="7" customFormat="1" ht="1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spans="1:23" s="7" customFormat="1" ht="1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spans="1:23" s="7" customFormat="1" ht="1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spans="1:23" s="7" customFormat="1" ht="1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spans="1:23" s="7" customFormat="1" ht="1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spans="1:23" s="7" customFormat="1" ht="1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spans="1:23" s="7" customFormat="1" ht="1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spans="1:23" s="7" customFormat="1" ht="1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spans="1:23" s="7" customFormat="1" ht="1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spans="1:23" s="7" customFormat="1" ht="1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spans="1:23" s="7" customFormat="1" ht="1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spans="1:23" s="7" customFormat="1" ht="1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spans="1:23" s="7" customFormat="1" ht="1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spans="1:23" s="7" customFormat="1" ht="1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spans="1:23" s="7" customFormat="1" ht="1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spans="1:23" s="7" customFormat="1" ht="1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spans="1:23" s="7" customFormat="1" ht="1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spans="1:23" s="7" customFormat="1" ht="1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spans="1:23" s="7" customFormat="1" ht="1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spans="1:23" s="7" customFormat="1" ht="1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spans="1:23" s="7" customFormat="1" ht="1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spans="1:23" s="7" customFormat="1" ht="1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spans="1:23" s="7" customFormat="1" ht="1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spans="1:23" s="7" customFormat="1" ht="1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spans="1:23" s="7" customFormat="1" ht="1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spans="1:23" s="7" customFormat="1" ht="1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spans="1:23" s="7" customFormat="1" ht="1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spans="1:23" s="7" customFormat="1" ht="1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spans="1:23" s="7" customFormat="1" ht="1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spans="1:23" s="7" customFormat="1" ht="1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spans="1:23" s="7" customFormat="1" ht="1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spans="1:23" s="7" customFormat="1" ht="1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spans="1:23" s="7" customFormat="1" ht="1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spans="1:23" s="7" customFormat="1" ht="1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spans="1:23" s="7" customFormat="1" ht="1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spans="1:23" s="7" customFormat="1" ht="1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spans="1:23" s="7" customFormat="1" ht="1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spans="1:23" s="7" customFormat="1" ht="1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spans="1:23" s="7" customFormat="1" ht="1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spans="1:23" s="7" customFormat="1" ht="1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spans="1:23" s="7" customFormat="1" ht="1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spans="1:23" s="7" customFormat="1" ht="1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spans="1:23" s="7" customFormat="1" ht="1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spans="1:23" s="7" customFormat="1" ht="1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spans="1:23" s="7" customFormat="1" ht="1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spans="1:23" s="7" customFormat="1" ht="1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spans="1:23" s="7" customFormat="1" ht="1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spans="1:23" s="7" customFormat="1" ht="1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spans="1:23" s="7" customFormat="1" ht="1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spans="1:23" s="7" customFormat="1" ht="1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spans="1:23" s="7" customFormat="1" ht="1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spans="1:23" s="7" customFormat="1" ht="1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spans="1:23" s="7" customFormat="1" ht="1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spans="1:23" s="7" customFormat="1" ht="1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spans="1:23" s="7" customFormat="1" ht="1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spans="1:23" s="7" customFormat="1" ht="1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spans="1:23" s="7" customFormat="1" ht="1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spans="1:23" s="7" customFormat="1" ht="1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spans="1:23" s="7" customFormat="1" ht="1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spans="1:23" s="7" customFormat="1" ht="1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spans="1:23" s="7" customFormat="1" ht="1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spans="1:23" s="7" customFormat="1" ht="1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spans="1:23" s="7" customFormat="1" ht="1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spans="1:23" s="7" customFormat="1" ht="1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spans="1:23" s="7" customFormat="1" ht="1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spans="1:23" s="7" customFormat="1" ht="1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spans="1:23" s="7" customFormat="1" ht="1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spans="1:23" s="7" customFormat="1" ht="1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spans="1:23" s="7" customFormat="1" ht="1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spans="1:23" s="7" customFormat="1" ht="1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spans="1:23" s="7" customFormat="1" ht="1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spans="1:23" s="7" customFormat="1" ht="1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spans="1:23" s="7" customFormat="1" ht="1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spans="1:23" s="7" customFormat="1" ht="1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spans="1:23" s="7" customFormat="1" ht="1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spans="1:23" s="7" customFormat="1" ht="1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spans="1:23" s="7" customFormat="1" ht="1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spans="1:23" s="7" customFormat="1" ht="1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spans="1:23" s="7" customFormat="1" ht="1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spans="1:23" s="7" customFormat="1" ht="1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spans="1:23" s="7" customFormat="1" ht="1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spans="1:23" s="7" customFormat="1" ht="1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spans="1:23" s="7" customFormat="1" ht="1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spans="1:23" s="7" customFormat="1" ht="1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spans="1:23" s="7" customFormat="1" ht="1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spans="1:23" s="7" customFormat="1" ht="1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spans="1:23" s="7" customFormat="1" ht="1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spans="1:23" s="7" customFormat="1" ht="1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spans="1:23" s="7" customFormat="1" ht="1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spans="1:23" s="7" customFormat="1" ht="1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spans="1:23" s="7" customFormat="1" ht="1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spans="1:23" s="7" customFormat="1" ht="1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spans="1:23" s="7" customFormat="1" ht="1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spans="1:23" s="7" customFormat="1" ht="1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spans="1:23" s="7" customFormat="1" ht="1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spans="1:23" s="7" customFormat="1" ht="1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spans="1:23" s="7" customFormat="1" ht="1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spans="1:23" s="7" customFormat="1" ht="1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spans="1:23" s="7" customFormat="1" ht="1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spans="1:23" s="7" customFormat="1" ht="1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spans="1:23" s="7" customFormat="1" ht="1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spans="1:23" s="7" customFormat="1" ht="1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spans="1:23" s="7" customFormat="1" ht="1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spans="1:23" s="7" customFormat="1" ht="1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spans="1:23" s="7" customFormat="1" ht="1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spans="1:23" s="7" customFormat="1" ht="1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spans="1:23" s="7" customFormat="1" ht="1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spans="1:23" s="7" customFormat="1" ht="1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spans="1:23" s="7" customFormat="1" ht="1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spans="1:23" s="7" customFormat="1" ht="1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spans="1:23" s="7" customFormat="1" ht="1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spans="1:23" s="7" customFormat="1" ht="1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spans="1:23" s="7" customFormat="1" ht="1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spans="1:23" s="7" customFormat="1" ht="1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spans="1:23" s="7" customFormat="1" ht="1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spans="1:23" s="7" customFormat="1" ht="1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spans="1:23" s="7" customFormat="1" ht="1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spans="1:23" s="7" customFormat="1" ht="1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spans="1:23" s="7" customFormat="1" ht="1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spans="1:23" s="7" customFormat="1" ht="1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spans="1:23" s="7" customFormat="1" ht="1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spans="1:23" s="7" customFormat="1" ht="1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spans="1:23" s="7" customFormat="1" ht="1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spans="1:23" s="7" customFormat="1" ht="1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spans="1:23" s="7" customFormat="1" ht="1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spans="1:23" s="7" customFormat="1" ht="1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spans="1:23" s="7" customFormat="1" ht="1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spans="1:23" s="7" customFormat="1" ht="1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spans="1:23" s="7" customFormat="1" ht="1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spans="1:23" s="7" customFormat="1" ht="1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spans="1:23" s="7" customFormat="1" ht="1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spans="1:23" s="7" customFormat="1" ht="1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spans="1:23" s="7" customFormat="1" ht="1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spans="1:23" s="7" customFormat="1" ht="1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spans="1:23" s="7" customFormat="1" ht="1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spans="1:23" s="7" customFormat="1" ht="1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spans="1:23" s="7" customFormat="1" ht="1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spans="1:23" s="7" customFormat="1" ht="1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spans="1:23" s="7" customFormat="1" ht="1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spans="1:23" s="7" customFormat="1" ht="1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spans="1:23" s="7" customFormat="1" ht="1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spans="1:23" s="7" customFormat="1" ht="1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spans="1:23" s="7" customFormat="1" ht="1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spans="1:23" s="7" customFormat="1" ht="1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spans="1:23" s="7" customFormat="1" ht="1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spans="1:23" s="7" customFormat="1" ht="1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spans="1:23" s="7" customFormat="1" ht="1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spans="1:23" s="7" customFormat="1" ht="1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spans="1:23" s="7" customFormat="1" ht="1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spans="1:23" s="7" customFormat="1" ht="1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spans="1:23" s="7" customFormat="1" ht="1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spans="1:23" s="7" customFormat="1" ht="1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spans="1:23" s="7" customFormat="1" ht="1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spans="1:23" s="7" customFormat="1" ht="1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spans="1:23" s="7" customFormat="1" ht="1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spans="1:23" s="7" customFormat="1" ht="1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spans="1:23" s="7" customFormat="1" ht="1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spans="1:23" s="7" customFormat="1" ht="1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spans="1:23" s="7" customFormat="1" ht="1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spans="1:23" s="7" customFormat="1" ht="1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spans="1:23" s="7" customFormat="1" ht="1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spans="1:23" s="7" customFormat="1" ht="1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spans="1:23" s="7" customFormat="1" ht="1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spans="1:23" s="7" customFormat="1" ht="1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spans="1:23" s="7" customFormat="1" ht="1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spans="1:23" s="7" customFormat="1" ht="1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spans="1:23" s="7" customFormat="1" ht="1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spans="1:23" s="7" customFormat="1" ht="1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spans="1:23" s="7" customFormat="1" ht="1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spans="1:23" s="7" customFormat="1" ht="1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spans="1:23" s="7" customFormat="1" ht="1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spans="1:23" s="7" customFormat="1" ht="1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spans="1:23" s="7" customFormat="1" ht="1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spans="1:23" s="7" customFormat="1" ht="1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spans="1:23" s="7" customFormat="1" ht="1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spans="1:23" s="7" customFormat="1" ht="1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spans="1:23" s="7" customFormat="1" ht="1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spans="1:23" s="7" customFormat="1" ht="1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spans="1:23" s="7" customFormat="1" ht="1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spans="1:23" s="7" customFormat="1" ht="1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spans="1:23" s="7" customFormat="1" ht="1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spans="1:23" s="7" customFormat="1" ht="1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spans="1:23" s="7" customFormat="1" ht="1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spans="1:23" s="7" customFormat="1" ht="1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spans="1:23" s="7" customFormat="1" ht="1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spans="1:23" s="7" customFormat="1" ht="1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spans="1:23" s="7" customFormat="1" ht="1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spans="1:23" s="7" customFormat="1" ht="1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spans="1:23" s="7" customFormat="1" ht="1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spans="1:23" s="7" customFormat="1" ht="1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spans="1:23" s="7" customFormat="1" ht="1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spans="1:23" s="7" customFormat="1" ht="1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spans="1:23" s="7" customFormat="1" ht="1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spans="1:23" s="7" customFormat="1" ht="1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spans="1:23" s="7" customFormat="1" ht="1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spans="1:23" s="7" customFormat="1" ht="1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spans="1:23" s="7" customFormat="1" ht="1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spans="1:23" s="7" customFormat="1" ht="1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spans="1:23" s="7" customFormat="1" ht="1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spans="1:23" s="7" customFormat="1" ht="1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spans="1:23" s="7" customFormat="1" ht="1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spans="1:23" s="7" customFormat="1" ht="1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spans="1:23" s="7" customFormat="1" ht="1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spans="1:23" s="7" customFormat="1" ht="1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spans="1:23" s="7" customFormat="1" ht="1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spans="1:23" s="7" customFormat="1" ht="1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spans="1:23" s="7" customFormat="1" ht="1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spans="1:23" s="7" customFormat="1" ht="1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spans="1:23" s="7" customFormat="1" ht="1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spans="1:23" s="7" customFormat="1" ht="1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spans="1:23" s="7" customFormat="1" ht="1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spans="1:23" s="7" customFormat="1" ht="1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spans="1:23" s="7" customFormat="1" ht="1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spans="1:23" s="7" customFormat="1" ht="1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spans="1:23" s="7" customFormat="1" ht="1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spans="1:23" s="7" customFormat="1" ht="1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spans="1:23" s="7" customFormat="1" ht="1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spans="1:23" s="7" customFormat="1" ht="1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spans="1:23" s="7" customFormat="1" ht="1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spans="1:23" s="7" customFormat="1" ht="1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spans="1:23" s="7" customFormat="1" ht="1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spans="1:23" s="7" customFormat="1" ht="1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spans="1:23" s="7" customFormat="1" ht="1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spans="1:23" s="7" customFormat="1" ht="1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spans="1:23" s="7" customFormat="1" ht="1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spans="1:23" s="7" customFormat="1" ht="1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spans="1:23" s="7" customFormat="1" ht="1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spans="1:23" s="7" customFormat="1" ht="1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spans="1:23" s="7" customFormat="1" ht="1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spans="1:23" s="7" customFormat="1" ht="1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spans="1:23" s="7" customFormat="1" ht="1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spans="1:23" s="7" customFormat="1" ht="1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spans="1:23" s="7" customFormat="1" ht="1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spans="1:23" s="7" customFormat="1" ht="1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spans="1:23" s="7" customFormat="1" ht="1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spans="1:23" s="7" customFormat="1" ht="1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spans="1:23" s="7" customFormat="1" ht="1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spans="1:23" s="7" customFormat="1" ht="1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spans="1:23" s="7" customFormat="1" ht="1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spans="1:23" s="7" customFormat="1" ht="1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spans="1:23" s="7" customFormat="1" ht="1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spans="1:23" s="7" customFormat="1" ht="1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spans="1:23" s="7" customFormat="1" ht="1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spans="1:23" s="7" customFormat="1" ht="1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spans="1:23" s="7" customFormat="1" ht="1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spans="1:23" s="7" customFormat="1" ht="1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spans="1:23" s="7" customFormat="1" ht="1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spans="1:23" s="7" customFormat="1" ht="1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spans="1:23" s="7" customFormat="1" ht="1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spans="1:23" s="7" customFormat="1" ht="1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spans="1:23" s="7" customFormat="1" ht="1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spans="1:23" s="7" customFormat="1" ht="1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spans="1:23" s="7" customFormat="1" ht="1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spans="1:23" s="7" customFormat="1" ht="1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spans="1:23" s="7" customFormat="1" ht="1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spans="1:23" s="7" customFormat="1" ht="1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spans="1:23" s="7" customFormat="1" ht="1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spans="1:23" s="7" customFormat="1" ht="1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spans="1:23" s="7" customFormat="1" ht="1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spans="1:23" s="7" customFormat="1" ht="1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spans="1:23" s="7" customFormat="1" ht="1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spans="1:23" s="7" customFormat="1" ht="1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spans="1:23" s="7" customFormat="1" ht="1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spans="1:23" s="7" customFormat="1" ht="1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spans="1:23" s="7" customFormat="1" ht="1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spans="1:23" s="7" customFormat="1" ht="1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spans="1:23" s="7" customFormat="1" ht="1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spans="1:23" s="7" customFormat="1" ht="1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spans="1:23" s="7" customFormat="1" ht="1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spans="1:23" s="7" customFormat="1" ht="1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spans="1:23" s="7" customFormat="1" ht="1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spans="1:23" s="7" customFormat="1" ht="1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spans="1:23" s="7" customFormat="1" ht="1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spans="1:23" s="7" customFormat="1" ht="1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spans="1:23" s="7" customFormat="1" ht="1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spans="1:23" s="7" customFormat="1" ht="1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spans="1:23" s="7" customFormat="1" ht="1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spans="1:23" s="7" customFormat="1" ht="1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spans="1:23" s="7" customFormat="1" ht="1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spans="1:23" s="7" customFormat="1" ht="1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spans="1:23" s="7" customFormat="1" ht="1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spans="1:23" s="7" customFormat="1" ht="1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spans="1:23" s="7" customFormat="1" ht="1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spans="1:23" s="7" customFormat="1" ht="1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spans="1:23" s="7" customFormat="1" ht="1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spans="1:23" s="7" customFormat="1" ht="1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spans="1:23" s="7" customFormat="1" ht="1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spans="1:23" s="7" customFormat="1" ht="1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spans="1:23" s="7" customFormat="1" ht="1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spans="1:23" s="7" customFormat="1" ht="1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spans="1:23" s="7" customFormat="1" ht="1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spans="1:23" s="7" customFormat="1" ht="1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spans="1:23" s="7" customFormat="1" ht="1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spans="1:23" s="7" customFormat="1" ht="1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spans="1:23" s="7" customFormat="1" ht="1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spans="1:23" s="7" customFormat="1" ht="1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spans="1:23" s="7" customFormat="1" ht="1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spans="1:23" s="7" customFormat="1" ht="1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spans="1:23" s="7" customFormat="1" ht="1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spans="1:23" s="7" customFormat="1" ht="1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spans="1:23" s="7" customFormat="1" ht="1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spans="1:23" s="7" customFormat="1" ht="1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spans="1:23" s="7" customFormat="1" ht="1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spans="1:23" s="7" customFormat="1" ht="1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spans="1:23" s="7" customFormat="1" ht="1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spans="1:23" s="7" customFormat="1" ht="1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spans="1:23" s="7" customFormat="1" ht="1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spans="1:23" s="7" customFormat="1" ht="1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spans="1:23" s="7" customFormat="1" ht="1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spans="1:23" s="7" customFormat="1" ht="1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spans="1:23" s="7" customFormat="1" ht="1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spans="1:23" s="7" customFormat="1" ht="1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spans="1:23" s="7" customFormat="1" ht="1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spans="1:23" s="7" customFormat="1" ht="1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spans="1:23" s="7" customFormat="1" ht="1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spans="1:23" s="7" customFormat="1" ht="1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spans="1:23" s="7" customFormat="1" ht="1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spans="1:23" s="7" customFormat="1" ht="1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spans="1:23" s="7" customFormat="1" ht="1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spans="1:23" s="7" customFormat="1" ht="1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spans="1:23" s="7" customFormat="1" ht="1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spans="1:23" s="7" customFormat="1" ht="1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spans="1:23" s="7" customFormat="1" ht="1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spans="1:23" s="7" customFormat="1" ht="1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spans="1:23" s="7" customFormat="1" ht="1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spans="1:23" s="7" customFormat="1" ht="1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spans="1:23" s="7" customFormat="1" ht="1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spans="1:23" s="7" customFormat="1" ht="1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spans="1:23" s="7" customFormat="1" ht="1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spans="1:23" s="7" customFormat="1" ht="1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spans="1:23" s="7" customFormat="1" ht="1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spans="1:23" s="7" customFormat="1" ht="1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spans="1:23" s="7" customFormat="1" ht="1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spans="1:23" s="7" customFormat="1" ht="1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spans="1:23" s="7" customFormat="1" ht="1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spans="1:23" s="7" customFormat="1" ht="1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spans="1:23" s="7" customFormat="1" ht="1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spans="1:23" s="7" customFormat="1" ht="1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spans="1:23" s="7" customFormat="1" ht="1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spans="1:23" s="7" customFormat="1" ht="1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spans="1:23" s="7" customFormat="1" ht="1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spans="1:23" s="7" customFormat="1" ht="1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spans="1:23" s="7" customFormat="1" ht="1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spans="1:23" s="7" customFormat="1" ht="1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spans="1:23" s="7" customFormat="1" ht="1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spans="1:23" s="7" customFormat="1" ht="1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spans="1:23" s="7" customFormat="1" ht="1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spans="1:23" s="7" customFormat="1" ht="1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spans="1:23" s="7" customFormat="1" ht="1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spans="1:23" s="7" customFormat="1" ht="1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spans="1:23" s="7" customFormat="1" ht="1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spans="1:23" s="7" customFormat="1" ht="1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spans="1:23" s="7" customFormat="1" ht="1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spans="1:23" s="7" customFormat="1" ht="1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spans="1:23" s="7" customFormat="1" ht="1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spans="1:23" s="7" customFormat="1" ht="1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spans="1:23" s="7" customFormat="1" ht="1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spans="1:23" s="7" customFormat="1" ht="1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spans="1:23" s="7" customFormat="1" ht="1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spans="1:23" s="7" customFormat="1" ht="1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spans="1:23" s="7" customFormat="1" ht="1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spans="1:23" s="7" customFormat="1" ht="1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spans="1:23" s="7" customFormat="1" ht="1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spans="1:23" s="7" customFormat="1" ht="1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spans="1:23" s="7" customFormat="1" ht="1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spans="1:23" s="7" customFormat="1" ht="1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spans="1:23" s="7" customFormat="1" ht="1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spans="1:23" s="7" customFormat="1" ht="1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spans="1:23" s="7" customFormat="1" ht="1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spans="1:23" s="7" customFormat="1" ht="1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spans="1:23" s="7" customFormat="1" ht="1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spans="1:23" s="7" customFormat="1" ht="1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spans="1:23" s="7" customFormat="1" ht="1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spans="1:23" s="7" customFormat="1" ht="1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spans="1:23" s="7" customFormat="1" ht="1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spans="1:23" s="7" customFormat="1" ht="1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spans="1:23" s="7" customFormat="1" ht="1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spans="1:23" s="7" customFormat="1" ht="1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spans="1:23" s="7" customFormat="1" ht="1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spans="1:23" s="7" customFormat="1" ht="1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spans="1:23" s="7" customFormat="1" ht="1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spans="1:23" s="7" customFormat="1" ht="1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spans="1:23" s="7" customFormat="1" ht="1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spans="1:23" s="7" customFormat="1" ht="1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spans="1:23" s="7" customFormat="1" ht="1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spans="1:23" s="7" customFormat="1" ht="1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spans="1:23" s="7" customFormat="1" ht="1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spans="1:23" s="7" customFormat="1" ht="1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spans="1:23" s="7" customFormat="1" ht="1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spans="1:23" s="7" customFormat="1" ht="1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spans="1:23" s="7" customFormat="1" ht="1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spans="1:23" s="7" customFormat="1" ht="1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spans="1:23" s="7" customFormat="1" ht="1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spans="1:23" s="7" customFormat="1" ht="1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spans="1:23" s="7" customFormat="1" ht="1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spans="1:23" s="7" customFormat="1" ht="1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spans="1:23" s="7" customFormat="1" ht="1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spans="1:23" s="7" customFormat="1" ht="1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spans="1:23" s="7" customFormat="1" ht="1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spans="1:23" s="7" customFormat="1" ht="1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spans="1:23" s="7" customFormat="1" ht="1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spans="1:23" s="7" customFormat="1" ht="1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spans="1:23" s="7" customFormat="1" ht="1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spans="1:23" s="7" customFormat="1" ht="1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spans="1:23" s="7" customFormat="1" ht="1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spans="1:23" s="7" customFormat="1" ht="1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spans="1:23" s="7" customFormat="1" ht="1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spans="1:23" s="7" customFormat="1" ht="1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spans="1:23" s="7" customFormat="1" ht="1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spans="1:23" s="7" customFormat="1" ht="1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spans="1:23" s="7" customFormat="1" ht="1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spans="1:23" s="7" customFormat="1" ht="1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spans="1:23" s="7" customFormat="1" ht="1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spans="1:23" s="7" customFormat="1" ht="1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spans="1:23" s="7" customFormat="1" ht="1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spans="1:23" s="7" customFormat="1" ht="1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spans="1:23" s="7" customFormat="1" ht="1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spans="1:23" s="7" customFormat="1" ht="1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spans="1:23" s="7" customFormat="1" ht="1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spans="1:23" s="7" customFormat="1" ht="1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spans="1:23" s="7" customFormat="1" ht="1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spans="1:23" s="7" customFormat="1" ht="1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spans="1:23" s="7" customFormat="1" ht="1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spans="1:23" s="7" customFormat="1" ht="1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spans="1:23" s="7" customFormat="1" ht="1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spans="1:23" s="7" customFormat="1" ht="1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spans="1:23" s="7" customFormat="1" ht="1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spans="1:23" s="7" customFormat="1" ht="1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spans="1:23" s="7" customFormat="1" ht="1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spans="1:23" s="7" customFormat="1" ht="1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spans="1:23" s="7" customFormat="1" ht="1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spans="1:23" s="7" customFormat="1" ht="1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spans="1:23" s="7" customFormat="1" ht="1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spans="1:23" s="7" customFormat="1" ht="1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spans="1:23" s="7" customFormat="1" ht="1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spans="1:23" s="7" customFormat="1" ht="1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spans="1:23" s="7" customFormat="1" ht="1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spans="1:23" s="7" customFormat="1" ht="1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spans="1:23" s="7" customFormat="1" ht="1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spans="1:23" s="7" customFormat="1" ht="1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spans="1:23" s="7" customFormat="1" ht="1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spans="1:23" s="7" customFormat="1" ht="1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spans="1:23" s="7" customFormat="1" ht="1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spans="1:23" s="7" customFormat="1" ht="1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spans="1:23" s="7" customFormat="1" ht="1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spans="1:23" s="7" customFormat="1" ht="1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spans="1:23" s="7" customFormat="1" ht="1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spans="1:23" s="7" customFormat="1" ht="1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spans="1:23" s="7" customFormat="1" ht="1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spans="1:23" s="7" customFormat="1" ht="1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spans="1:23" s="7" customFormat="1" ht="1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spans="1:23" s="7" customFormat="1" ht="1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spans="1:23" s="7" customFormat="1" ht="1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spans="1:23" s="7" customFormat="1" ht="1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spans="1:23" s="7" customFormat="1" ht="1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spans="1:23" s="7" customFormat="1" ht="1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spans="1:23" s="7" customFormat="1" ht="1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spans="1:23" s="7" customFormat="1" ht="1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spans="1:23" s="7" customFormat="1" ht="1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spans="1:23" s="7" customFormat="1" ht="1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spans="1:23" s="7" customFormat="1" ht="1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spans="1:23" s="7" customFormat="1" ht="1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spans="1:23" s="7" customFormat="1" ht="1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spans="1:23" s="7" customFormat="1" ht="1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spans="1:23" s="7" customFormat="1" ht="1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spans="1:23" s="7" customFormat="1" ht="1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spans="1:23" s="7" customFormat="1" ht="1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spans="1:23" s="7" customFormat="1" ht="1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spans="1:23" s="7" customFormat="1" ht="1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spans="1:23" s="7" customFormat="1" ht="1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spans="1:23" s="7" customFormat="1" ht="1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spans="1:23" s="7" customFormat="1" ht="1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spans="1:23" s="7" customFormat="1" ht="1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spans="1:23" s="7" customFormat="1" ht="1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spans="1:23" s="7" customFormat="1" ht="1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spans="1:23" s="7" customFormat="1" ht="1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spans="1:23" s="7" customFormat="1" ht="1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spans="1:23" s="7" customFormat="1" ht="1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spans="1:23" s="7" customFormat="1" ht="1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spans="1:23" s="7" customFormat="1" ht="1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spans="1:23" s="7" customFormat="1" ht="1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spans="1:23" s="7" customFormat="1" ht="1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spans="1:23" s="7" customFormat="1" ht="1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spans="1:23" s="7" customFormat="1" ht="1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spans="1:23" s="7" customFormat="1" ht="1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spans="1:23" s="7" customFormat="1" ht="1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spans="1:23" s="7" customFormat="1" ht="1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spans="1:23" s="7" customFormat="1" ht="1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spans="1:23" s="7" customFormat="1" ht="1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spans="1:23" s="7" customFormat="1" ht="1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spans="1:23" s="7" customFormat="1" ht="1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spans="1:23" s="7" customFormat="1" ht="1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spans="1:23" s="7" customFormat="1" ht="1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spans="1:23" s="7" customFormat="1" ht="1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spans="1:23" s="7" customFormat="1" ht="1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spans="1:23" s="7" customFormat="1" ht="1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spans="1:23" s="7" customFormat="1" ht="1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spans="1:23" s="7" customFormat="1" ht="1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spans="1:23" s="7" customFormat="1" ht="1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spans="1:23" s="7" customFormat="1" ht="1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spans="1:23" s="7" customFormat="1" ht="1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spans="1:23" s="7" customFormat="1" ht="1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spans="1:23" s="7" customFormat="1" ht="1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spans="1:23" s="7" customFormat="1" ht="1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spans="1:23" s="7" customFormat="1" ht="1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spans="1:23" s="7" customFormat="1" ht="1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spans="1:23" s="7" customFormat="1" ht="1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spans="1:23" s="7" customFormat="1" ht="1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spans="1:23" s="7" customFormat="1" ht="1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spans="1:23" s="7" customFormat="1" ht="1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spans="1:23" s="7" customFormat="1" ht="1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spans="1:23" s="7" customFormat="1" ht="1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spans="1:23" s="7" customFormat="1" ht="1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spans="1:23" s="7" customFormat="1" ht="1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spans="1:23" s="7" customFormat="1" ht="1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spans="1:23" s="7" customFormat="1" ht="1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spans="1:23" s="7" customFormat="1" ht="1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spans="1:23" s="7" customFormat="1" ht="1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spans="1:23" s="7" customFormat="1" ht="1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spans="1:23" s="7" customFormat="1" ht="1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spans="1:23" s="7" customFormat="1" ht="1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spans="1:23" s="7" customFormat="1" ht="1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spans="1:23" s="7" customFormat="1" ht="1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spans="1:23" s="7" customFormat="1" ht="1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spans="1:23" s="7" customFormat="1" ht="1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spans="1:23" s="7" customFormat="1" ht="1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spans="1:23" s="7" customFormat="1" ht="1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spans="1:23" s="7" customFormat="1" ht="1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spans="1:23" s="7" customFormat="1" ht="1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spans="1:23" s="7" customFormat="1" ht="1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spans="1:23" s="7" customFormat="1" ht="1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spans="1:23" s="7" customFormat="1" ht="1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spans="1:23" s="7" customFormat="1" ht="1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spans="1:23" s="7" customFormat="1" ht="1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spans="1:23" s="7" customFormat="1" ht="1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spans="1:23" s="7" customFormat="1" ht="1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spans="1:23" s="7" customFormat="1" ht="1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spans="1:23" s="7" customFormat="1" ht="1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spans="1:23" s="7" customFormat="1" ht="1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spans="1:23" s="7" customFormat="1" ht="1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spans="1:23" s="7" customFormat="1" ht="1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spans="1:23" s="7" customFormat="1" ht="1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spans="1:23" s="7" customFormat="1" ht="1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spans="1:23" s="7" customFormat="1" ht="1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spans="1:23" s="7" customFormat="1" ht="1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spans="1:23" s="7" customFormat="1" ht="1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spans="1:23" s="7" customFormat="1" ht="1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spans="1:23" s="7" customFormat="1" ht="1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spans="1:23" s="7" customFormat="1" ht="1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spans="1:23" s="7" customFormat="1" ht="1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spans="1:23" s="7" customFormat="1" ht="1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spans="1:23" s="7" customFormat="1" ht="1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spans="1:23" s="7" customFormat="1" ht="1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spans="1:23" s="7" customFormat="1" ht="1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spans="1:23" s="7" customFormat="1" ht="1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spans="1:23" s="7" customFormat="1" ht="1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spans="1:23" s="7" customFormat="1" ht="1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spans="1:23" s="7" customFormat="1" ht="1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spans="1:23" s="7" customFormat="1" ht="1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spans="1:23" s="7" customFormat="1" ht="1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spans="1:23" s="7" customFormat="1" ht="1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spans="1:23" s="7" customFormat="1" ht="1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spans="1:23" s="7" customFormat="1" ht="1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spans="1:23" s="7" customFormat="1" ht="1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spans="1:23" s="7" customFormat="1" ht="1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spans="1:23" s="7" customFormat="1" ht="1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spans="1:23" s="7" customFormat="1" ht="1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spans="1:23" s="7" customFormat="1" ht="1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spans="1:23" s="7" customFormat="1" ht="1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spans="1:23" s="7" customFormat="1" ht="1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spans="1:23" s="7" customFormat="1" ht="1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spans="1:23" s="7" customFormat="1" ht="1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spans="1:23" s="7" customFormat="1" ht="1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</sheetData>
  <sheetProtection/>
  <printOptions horizontalCentered="1" verticalCentered="1"/>
  <pageMargins left="0.3937007874015748" right="0" top="0" bottom="0" header="0" footer="0"/>
  <pageSetup fitToHeight="0" horizontalDpi="600" verticalDpi="600" orientation="landscape" paperSize="5" scale="5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4" sqref="B24"/>
    </sheetView>
  </sheetViews>
  <sheetFormatPr defaultColWidth="11.19921875" defaultRowHeight="15"/>
  <cols>
    <col min="1" max="1" width="24.19921875" style="0" customWidth="1"/>
    <col min="2" max="2" width="20.19921875" style="0" customWidth="1"/>
    <col min="3" max="3" width="19.19921875" style="0" customWidth="1"/>
    <col min="4" max="4" width="18.8984375" style="0" customWidth="1"/>
  </cols>
  <sheetData>
    <row r="1" spans="1:5" ht="18">
      <c r="A1" s="585" t="s">
        <v>247</v>
      </c>
      <c r="B1" s="586"/>
      <c r="C1" s="586"/>
      <c r="D1" s="586"/>
      <c r="E1" s="587"/>
    </row>
    <row r="2" spans="1:5" ht="12.75">
      <c r="A2" s="588" t="s">
        <v>237</v>
      </c>
      <c r="B2" s="589"/>
      <c r="C2" s="589"/>
      <c r="D2" s="589"/>
      <c r="E2" s="590"/>
    </row>
    <row r="3" spans="1:5" ht="12.75" thickBot="1">
      <c r="A3" s="340"/>
      <c r="B3" s="341"/>
      <c r="C3" s="341"/>
      <c r="D3" s="341"/>
      <c r="E3" s="342"/>
    </row>
    <row r="4" spans="1:5" ht="13.5" thickBot="1">
      <c r="A4" s="343" t="s">
        <v>238</v>
      </c>
      <c r="B4" s="343" t="s">
        <v>239</v>
      </c>
      <c r="C4" s="343" t="s">
        <v>240</v>
      </c>
      <c r="D4" s="343" t="s">
        <v>241</v>
      </c>
      <c r="E4" s="343" t="s">
        <v>242</v>
      </c>
    </row>
    <row r="5" spans="1:5" ht="13.5">
      <c r="A5" s="344" t="s">
        <v>47</v>
      </c>
      <c r="B5" s="345">
        <v>21395200000</v>
      </c>
      <c r="C5" s="345">
        <v>4802495178</v>
      </c>
      <c r="D5" s="346">
        <f>+B5-C5</f>
        <v>16592704822</v>
      </c>
      <c r="E5" s="347">
        <f aca="true" t="shared" si="0" ref="E5:E10">+C5/B5</f>
        <v>0.22446601003963507</v>
      </c>
    </row>
    <row r="6" spans="1:5" ht="13.5">
      <c r="A6" s="348" t="s">
        <v>104</v>
      </c>
      <c r="B6" s="349">
        <v>3644500000</v>
      </c>
      <c r="C6" s="349">
        <v>2444884133</v>
      </c>
      <c r="D6" s="350">
        <f>+B6-C6</f>
        <v>1199615867</v>
      </c>
      <c r="E6" s="351">
        <f t="shared" si="0"/>
        <v>0.6708421273151324</v>
      </c>
    </row>
    <row r="7" spans="1:5" ht="14.25" thickBot="1">
      <c r="A7" s="352" t="s">
        <v>243</v>
      </c>
      <c r="B7" s="353">
        <v>25607300000</v>
      </c>
      <c r="C7" s="353">
        <v>2607147068</v>
      </c>
      <c r="D7" s="354">
        <f>+B7-C7</f>
        <v>23000152932</v>
      </c>
      <c r="E7" s="355">
        <f t="shared" si="0"/>
        <v>0.10181264983032182</v>
      </c>
    </row>
    <row r="8" spans="1:5" ht="14.25" thickBot="1">
      <c r="A8" s="356" t="s">
        <v>244</v>
      </c>
      <c r="B8" s="357">
        <f>SUM(B5:B7)</f>
        <v>50647000000</v>
      </c>
      <c r="C8" s="357">
        <f>SUM(C5:C7)</f>
        <v>9854526379</v>
      </c>
      <c r="D8" s="357">
        <f>SUM(D5:D7)</f>
        <v>40792473621</v>
      </c>
      <c r="E8" s="358">
        <f t="shared" si="0"/>
        <v>0.19457275611586075</v>
      </c>
    </row>
    <row r="9" spans="1:5" ht="14.25" thickBot="1">
      <c r="A9" s="359" t="s">
        <v>245</v>
      </c>
      <c r="B9" s="360">
        <v>2587124450000</v>
      </c>
      <c r="C9" s="360">
        <v>559748367727</v>
      </c>
      <c r="D9" s="350">
        <f>+B9-C9</f>
        <v>2027376082273</v>
      </c>
      <c r="E9" s="361">
        <f t="shared" si="0"/>
        <v>0.21635927399124538</v>
      </c>
    </row>
    <row r="10" spans="1:5" ht="14.25" thickBot="1">
      <c r="A10" s="356" t="s">
        <v>246</v>
      </c>
      <c r="B10" s="357">
        <f>+B8+B9</f>
        <v>2637771450000</v>
      </c>
      <c r="C10" s="357">
        <f>+C8+C9</f>
        <v>569602894106</v>
      </c>
      <c r="D10" s="357">
        <f>+D8+D9</f>
        <v>2068168555894</v>
      </c>
      <c r="E10" s="358">
        <f t="shared" si="0"/>
        <v>0.21594095807883584</v>
      </c>
    </row>
    <row r="12" ht="12.75" thickBot="1"/>
    <row r="13" spans="1:5" ht="18">
      <c r="A13" s="585" t="s">
        <v>248</v>
      </c>
      <c r="B13" s="586"/>
      <c r="C13" s="586"/>
      <c r="D13" s="586"/>
      <c r="E13" s="587"/>
    </row>
    <row r="14" spans="1:5" ht="12.75">
      <c r="A14" s="588" t="s">
        <v>237</v>
      </c>
      <c r="B14" s="589"/>
      <c r="C14" s="589"/>
      <c r="D14" s="589"/>
      <c r="E14" s="590"/>
    </row>
    <row r="15" spans="1:5" ht="12.75" thickBot="1">
      <c r="A15" s="340"/>
      <c r="B15" s="341"/>
      <c r="C15" s="341"/>
      <c r="D15" s="341"/>
      <c r="E15" s="342"/>
    </row>
    <row r="16" spans="1:5" ht="13.5" thickBot="1">
      <c r="A16" s="343" t="s">
        <v>238</v>
      </c>
      <c r="B16" s="343" t="s">
        <v>239</v>
      </c>
      <c r="C16" s="343" t="s">
        <v>240</v>
      </c>
      <c r="D16" s="343" t="s">
        <v>241</v>
      </c>
      <c r="E16" s="343" t="s">
        <v>242</v>
      </c>
    </row>
    <row r="17" spans="1:5" ht="13.5">
      <c r="A17" s="344" t="s">
        <v>47</v>
      </c>
      <c r="B17" s="345">
        <v>21395200000</v>
      </c>
      <c r="C17" s="345">
        <v>9295695919</v>
      </c>
      <c r="D17" s="346">
        <f>+B17-C17</f>
        <v>12099504081</v>
      </c>
      <c r="E17" s="347">
        <f aca="true" t="shared" si="1" ref="E17:E22">+C17/B17</f>
        <v>0.43447576648033204</v>
      </c>
    </row>
    <row r="18" spans="1:5" ht="13.5">
      <c r="A18" s="348" t="s">
        <v>104</v>
      </c>
      <c r="B18" s="349">
        <v>3644500000</v>
      </c>
      <c r="C18" s="349">
        <v>2986782046</v>
      </c>
      <c r="D18" s="350">
        <f>+B18-C18</f>
        <v>657717954</v>
      </c>
      <c r="E18" s="351">
        <f t="shared" si="1"/>
        <v>0.8195313612292495</v>
      </c>
    </row>
    <row r="19" spans="1:5" ht="14.25" thickBot="1">
      <c r="A19" s="352" t="s">
        <v>243</v>
      </c>
      <c r="B19" s="353">
        <v>25607300000</v>
      </c>
      <c r="C19" s="353">
        <v>9062323148</v>
      </c>
      <c r="D19" s="354">
        <f>+B19-C19</f>
        <v>16544976852</v>
      </c>
      <c r="E19" s="355">
        <f t="shared" si="1"/>
        <v>0.35389608228903474</v>
      </c>
    </row>
    <row r="20" spans="1:5" ht="14.25" thickBot="1">
      <c r="A20" s="356" t="s">
        <v>244</v>
      </c>
      <c r="B20" s="357">
        <f>SUM(B17:B19)</f>
        <v>50647000000</v>
      </c>
      <c r="C20" s="357">
        <f>SUM(C17:C19)</f>
        <v>21344801113</v>
      </c>
      <c r="D20" s="357">
        <f>SUM(D17:D19)</f>
        <v>29302198887</v>
      </c>
      <c r="E20" s="358">
        <f t="shared" si="1"/>
        <v>0.4214425555906569</v>
      </c>
    </row>
    <row r="21" spans="1:5" ht="14.25" thickBot="1">
      <c r="A21" s="359" t="s">
        <v>245</v>
      </c>
      <c r="B21" s="360">
        <v>2587124450000</v>
      </c>
      <c r="C21" s="360">
        <v>995387657718</v>
      </c>
      <c r="D21" s="350">
        <f>+B21-C21</f>
        <v>1591736792282</v>
      </c>
      <c r="E21" s="361">
        <f t="shared" si="1"/>
        <v>0.3847467243866061</v>
      </c>
    </row>
    <row r="22" spans="1:5" ht="14.25" thickBot="1">
      <c r="A22" s="356" t="s">
        <v>246</v>
      </c>
      <c r="B22" s="357">
        <f>+B20+B21</f>
        <v>2637771450000</v>
      </c>
      <c r="C22" s="357">
        <f>+C20+C21</f>
        <v>1016732458831</v>
      </c>
      <c r="D22" s="357">
        <f>+D20+D21</f>
        <v>1621038991169</v>
      </c>
      <c r="E22" s="358">
        <f t="shared" si="1"/>
        <v>0.38545130922203286</v>
      </c>
    </row>
  </sheetData>
  <sheetProtection/>
  <mergeCells count="4">
    <mergeCell ref="A1:E1"/>
    <mergeCell ref="A2:E2"/>
    <mergeCell ref="A13:E13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Minas y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cjsierra</dc:creator>
  <cp:keywords/>
  <dc:description/>
  <cp:lastModifiedBy>CLAUDIA JANETH SIERRA TOVAR</cp:lastModifiedBy>
  <cp:lastPrinted>2020-02-25T13:45:46Z</cp:lastPrinted>
  <dcterms:created xsi:type="dcterms:W3CDTF">2009-09-02T13:28:11Z</dcterms:created>
  <dcterms:modified xsi:type="dcterms:W3CDTF">2021-10-28T15:59:46Z</dcterms:modified>
  <cp:category/>
  <cp:version/>
  <cp:contentType/>
  <cp:contentStatus/>
</cp:coreProperties>
</file>