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Documents\TELETRABAJO EDGAR\2021\PLAN E ACCIÓN 2021\SEGUIMIENTO PLAN DE ACCIÓN\Junio\"/>
    </mc:Choice>
  </mc:AlternateContent>
  <bookViews>
    <workbookView xWindow="0" yWindow="0" windowWidth="24000" windowHeight="8835" firstSheet="3" activeTab="3"/>
  </bookViews>
  <sheets>
    <sheet name="Hoja4" sheetId="6" state="hidden" r:id="rId1"/>
    <sheet name="Metas Productos %" sheetId="9" state="hidden" r:id="rId2"/>
    <sheet name="Junio MP %" sheetId="10" state="hidden" r:id="rId3"/>
    <sheet name="Metas Productos" sheetId="2" r:id="rId4"/>
    <sheet name="Hoja1" sheetId="3" state="hidden" r:id="rId5"/>
  </sheets>
  <externalReferences>
    <externalReference r:id="rId6"/>
    <externalReference r:id="rId7"/>
  </externalReferences>
  <definedNames>
    <definedName name="_xlnm._FilterDatabase" localSheetId="0" hidden="1">Hoja4!$A$1:$L$124</definedName>
    <definedName name="_xlnm._FilterDatabase" localSheetId="2" hidden="1">'Junio MP %'!$E$34:$E$244</definedName>
    <definedName name="_xlnm._FilterDatabase" localSheetId="3" hidden="1">'Metas Productos'!$A$3:$BD$373</definedName>
    <definedName name="_xlnm._FilterDatabase" localSheetId="1" hidden="1">'Metas Productos %'!$A$5:$BO$372</definedName>
    <definedName name="_xlnm.Print_Area" localSheetId="3">'Metas Productos'!$A$1:$AV$373</definedName>
    <definedName name="_xlnm.Print_Titles" localSheetId="3">'Metas Productos'!$3:$6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7" i="2" l="1"/>
  <c r="BB7" i="2"/>
  <c r="BC7" i="2" s="1"/>
  <c r="BD7" i="2" s="1"/>
  <c r="BA8" i="2"/>
  <c r="BB8" i="2"/>
  <c r="BC8" i="2" s="1"/>
  <c r="BA9" i="2"/>
  <c r="BB9" i="2"/>
  <c r="BC9" i="2"/>
  <c r="BA10" i="2"/>
  <c r="BB10" i="2"/>
  <c r="BC10" i="2" s="1"/>
  <c r="BA11" i="2"/>
  <c r="BB11" i="2"/>
  <c r="BC11" i="2"/>
  <c r="BA12" i="2"/>
  <c r="BB12" i="2"/>
  <c r="BC12" i="2" s="1"/>
  <c r="BA13" i="2"/>
  <c r="BB13" i="2"/>
  <c r="BC13" i="2"/>
  <c r="BA14" i="2"/>
  <c r="BB14" i="2"/>
  <c r="BC14" i="2" s="1"/>
  <c r="BA15" i="2"/>
  <c r="BB15" i="2"/>
  <c r="BC15" i="2"/>
  <c r="BA16" i="2"/>
  <c r="BB16" i="2"/>
  <c r="BC16" i="2" s="1"/>
  <c r="BA17" i="2"/>
  <c r="BB17" i="2"/>
  <c r="BC17" i="2"/>
  <c r="BA18" i="2"/>
  <c r="BB18" i="2"/>
  <c r="BC18" i="2"/>
  <c r="BA19" i="2"/>
  <c r="BB19" i="2"/>
  <c r="BC19" i="2" s="1"/>
  <c r="BA20" i="2"/>
  <c r="BB20" i="2"/>
  <c r="BC20" i="2"/>
  <c r="BA21" i="2"/>
  <c r="BB21" i="2"/>
  <c r="BC21" i="2" s="1"/>
  <c r="BA22" i="2"/>
  <c r="BB22" i="2"/>
  <c r="BC22" i="2"/>
  <c r="BA23" i="2"/>
  <c r="BB23" i="2"/>
  <c r="BC23" i="2" s="1"/>
  <c r="BA24" i="2"/>
  <c r="BB24" i="2"/>
  <c r="BC24" i="2"/>
  <c r="BA25" i="2"/>
  <c r="BB25" i="2"/>
  <c r="BC25" i="2" s="1"/>
  <c r="BA26" i="2"/>
  <c r="BB26" i="2"/>
  <c r="BC26" i="2"/>
  <c r="BA27" i="2"/>
  <c r="BB27" i="2"/>
  <c r="BC27" i="2" s="1"/>
  <c r="BA28" i="2"/>
  <c r="BB28" i="2"/>
  <c r="BC28" i="2"/>
  <c r="BA29" i="2"/>
  <c r="BB29" i="2"/>
  <c r="BC29" i="2" s="1"/>
  <c r="BA30" i="2"/>
  <c r="BB30" i="2"/>
  <c r="BC30" i="2"/>
  <c r="BA31" i="2"/>
  <c r="BB31" i="2"/>
  <c r="BC31" i="2" s="1"/>
  <c r="BA32" i="2"/>
  <c r="BB32" i="2"/>
  <c r="BC32" i="2"/>
  <c r="BA33" i="2"/>
  <c r="BB33" i="2"/>
  <c r="BC33" i="2" s="1"/>
  <c r="BA34" i="2"/>
  <c r="BB34" i="2"/>
  <c r="BC34" i="2"/>
  <c r="BA35" i="2"/>
  <c r="BB35" i="2"/>
  <c r="BC35" i="2" s="1"/>
  <c r="BA36" i="2"/>
  <c r="BB36" i="2"/>
  <c r="BC36" i="2"/>
  <c r="BA37" i="2"/>
  <c r="BB37" i="2"/>
  <c r="BC37" i="2" s="1"/>
  <c r="BA38" i="2"/>
  <c r="BB38" i="2"/>
  <c r="BC38" i="2"/>
  <c r="BA39" i="2"/>
  <c r="BB39" i="2"/>
  <c r="BC39" i="2" s="1"/>
  <c r="BA40" i="2"/>
  <c r="BB40" i="2"/>
  <c r="BC40" i="2"/>
  <c r="BA41" i="2"/>
  <c r="BB41" i="2"/>
  <c r="BC41" i="2" s="1"/>
  <c r="BA42" i="2"/>
  <c r="BB42" i="2"/>
  <c r="BC42" i="2"/>
  <c r="BA43" i="2"/>
  <c r="BB43" i="2"/>
  <c r="BC43" i="2" s="1"/>
  <c r="BA44" i="2"/>
  <c r="BB44" i="2"/>
  <c r="BC44" i="2"/>
  <c r="BA45" i="2"/>
  <c r="BB45" i="2"/>
  <c r="BC45" i="2" s="1"/>
  <c r="BD45" i="2" s="1"/>
  <c r="BA46" i="2"/>
  <c r="BB46" i="2"/>
  <c r="BC46" i="2" s="1"/>
  <c r="BA47" i="2"/>
  <c r="BB47" i="2"/>
  <c r="BC47" i="2"/>
  <c r="BA48" i="2"/>
  <c r="BB48" i="2"/>
  <c r="BC48" i="2" s="1"/>
  <c r="BA49" i="2"/>
  <c r="BB49" i="2"/>
  <c r="BC49" i="2"/>
  <c r="BA50" i="2"/>
  <c r="BB50" i="2"/>
  <c r="BC50" i="2" s="1"/>
  <c r="BA51" i="2"/>
  <c r="BB51" i="2"/>
  <c r="BC51" i="2"/>
  <c r="BA52" i="2"/>
  <c r="BB52" i="2"/>
  <c r="BC52" i="2" s="1"/>
  <c r="BA53" i="2"/>
  <c r="BB53" i="2"/>
  <c r="BC53" i="2"/>
  <c r="BA54" i="2"/>
  <c r="BB54" i="2"/>
  <c r="BC54" i="2" s="1"/>
  <c r="BA55" i="2"/>
  <c r="BB55" i="2"/>
  <c r="BC55" i="2"/>
  <c r="BA56" i="2"/>
  <c r="BB56" i="2"/>
  <c r="BC56" i="2" s="1"/>
  <c r="BA57" i="2"/>
  <c r="BB57" i="2"/>
  <c r="BC57" i="2"/>
  <c r="BA58" i="2"/>
  <c r="BB58" i="2"/>
  <c r="BC58" i="2" s="1"/>
  <c r="BA59" i="2"/>
  <c r="BB59" i="2"/>
  <c r="BC59" i="2"/>
  <c r="BA60" i="2"/>
  <c r="BB60" i="2"/>
  <c r="BC60" i="2" s="1"/>
  <c r="BA61" i="2"/>
  <c r="BB61" i="2"/>
  <c r="BC61" i="2"/>
  <c r="BA62" i="2"/>
  <c r="BB62" i="2"/>
  <c r="BC62" i="2" s="1"/>
  <c r="BA63" i="2"/>
  <c r="BB63" i="2"/>
  <c r="BC63" i="2"/>
  <c r="BA64" i="2"/>
  <c r="BB64" i="2"/>
  <c r="BC64" i="2" s="1"/>
  <c r="BA65" i="2"/>
  <c r="BB65" i="2"/>
  <c r="BC65" i="2"/>
  <c r="BA66" i="2"/>
  <c r="BB66" i="2"/>
  <c r="BC66" i="2" s="1"/>
  <c r="BA67" i="2"/>
  <c r="BB67" i="2"/>
  <c r="BC67" i="2"/>
  <c r="BA68" i="2"/>
  <c r="BB68" i="2"/>
  <c r="BC68" i="2" s="1"/>
  <c r="BA69" i="2"/>
  <c r="BB69" i="2"/>
  <c r="BC69" i="2"/>
  <c r="BA70" i="2"/>
  <c r="BB70" i="2"/>
  <c r="BC70" i="2" s="1"/>
  <c r="BA71" i="2"/>
  <c r="BB71" i="2"/>
  <c r="BC71" i="2"/>
  <c r="BA72" i="2"/>
  <c r="BB72" i="2"/>
  <c r="BC72" i="2" s="1"/>
  <c r="BA73" i="2"/>
  <c r="BB73" i="2"/>
  <c r="BC73" i="2"/>
  <c r="BA74" i="2"/>
  <c r="BB74" i="2"/>
  <c r="BC74" i="2" s="1"/>
  <c r="BA75" i="2"/>
  <c r="BB75" i="2"/>
  <c r="BC75" i="2"/>
  <c r="BA76" i="2"/>
  <c r="BB76" i="2"/>
  <c r="BC76" i="2" s="1"/>
  <c r="BA77" i="2"/>
  <c r="BB77" i="2"/>
  <c r="BC77" i="2"/>
  <c r="BA78" i="2"/>
  <c r="BB78" i="2"/>
  <c r="BC78" i="2" s="1"/>
  <c r="BA79" i="2"/>
  <c r="BB79" i="2"/>
  <c r="BC79" i="2"/>
  <c r="BA80" i="2"/>
  <c r="BB80" i="2"/>
  <c r="BC80" i="2" s="1"/>
  <c r="BA81" i="2"/>
  <c r="BB81" i="2"/>
  <c r="BC81" i="2"/>
  <c r="BA82" i="2"/>
  <c r="BB82" i="2"/>
  <c r="BC82" i="2" s="1"/>
  <c r="BA83" i="2"/>
  <c r="BB83" i="2"/>
  <c r="BC83" i="2"/>
  <c r="BA84" i="2"/>
  <c r="BB84" i="2"/>
  <c r="BC84" i="2" s="1"/>
  <c r="BA85" i="2"/>
  <c r="BB85" i="2"/>
  <c r="BC85" i="2"/>
  <c r="BA86" i="2"/>
  <c r="BB86" i="2"/>
  <c r="BC86" i="2" s="1"/>
  <c r="BA87" i="2"/>
  <c r="BB87" i="2"/>
  <c r="BC87" i="2"/>
  <c r="BA88" i="2"/>
  <c r="BB88" i="2"/>
  <c r="BC88" i="2" s="1"/>
  <c r="BA89" i="2"/>
  <c r="BB89" i="2"/>
  <c r="BC89" i="2"/>
  <c r="BA90" i="2"/>
  <c r="BB90" i="2"/>
  <c r="BC90" i="2" s="1"/>
  <c r="BA91" i="2"/>
  <c r="BB91" i="2"/>
  <c r="BC91" i="2"/>
  <c r="BA92" i="2"/>
  <c r="BB92" i="2"/>
  <c r="BC92" i="2" s="1"/>
  <c r="BA93" i="2"/>
  <c r="BB93" i="2"/>
  <c r="BC93" i="2"/>
  <c r="BA94" i="2"/>
  <c r="BB94" i="2"/>
  <c r="BC94" i="2" s="1"/>
  <c r="BA95" i="2"/>
  <c r="BB95" i="2"/>
  <c r="BC95" i="2"/>
  <c r="BA96" i="2"/>
  <c r="BB96" i="2"/>
  <c r="BC96" i="2" s="1"/>
  <c r="BA97" i="2"/>
  <c r="BB97" i="2"/>
  <c r="BC97" i="2"/>
  <c r="BA98" i="2"/>
  <c r="BB98" i="2"/>
  <c r="BC98" i="2" s="1"/>
  <c r="BA99" i="2"/>
  <c r="BB99" i="2"/>
  <c r="BC99" i="2"/>
  <c r="BA100" i="2"/>
  <c r="BB100" i="2"/>
  <c r="BC100" i="2" s="1"/>
  <c r="BA101" i="2"/>
  <c r="BB101" i="2"/>
  <c r="BC101" i="2"/>
  <c r="BA102" i="2"/>
  <c r="BB102" i="2"/>
  <c r="BC102" i="2" s="1"/>
  <c r="BA103" i="2"/>
  <c r="BB103" i="2"/>
  <c r="BC103" i="2"/>
  <c r="BA104" i="2"/>
  <c r="BB104" i="2"/>
  <c r="BC104" i="2"/>
  <c r="BA105" i="2"/>
  <c r="BB105" i="2"/>
  <c r="BC105" i="2" s="1"/>
  <c r="BA106" i="2"/>
  <c r="BB106" i="2"/>
  <c r="BC106" i="2"/>
  <c r="BA107" i="2"/>
  <c r="BB107" i="2"/>
  <c r="BC107" i="2" s="1"/>
  <c r="BA108" i="2"/>
  <c r="BB108" i="2"/>
  <c r="BC108" i="2"/>
  <c r="BA109" i="2"/>
  <c r="BB109" i="2"/>
  <c r="BC109" i="2" s="1"/>
  <c r="BA110" i="2"/>
  <c r="BB110" i="2"/>
  <c r="BC110" i="2"/>
  <c r="BA111" i="2"/>
  <c r="BB111" i="2"/>
  <c r="BC111" i="2" s="1"/>
  <c r="BA112" i="2"/>
  <c r="BB112" i="2"/>
  <c r="BC112" i="2"/>
  <c r="BA113" i="2"/>
  <c r="BB113" i="2"/>
  <c r="BC113" i="2" s="1"/>
  <c r="BA114" i="2"/>
  <c r="BB114" i="2"/>
  <c r="BC114" i="2"/>
  <c r="BA115" i="2"/>
  <c r="BB115" i="2"/>
  <c r="BC115" i="2" s="1"/>
  <c r="BA116" i="2"/>
  <c r="BB116" i="2"/>
  <c r="BC116" i="2"/>
  <c r="BA117" i="2"/>
  <c r="BB117" i="2"/>
  <c r="BC117" i="2" s="1"/>
  <c r="BA118" i="2"/>
  <c r="BB118" i="2"/>
  <c r="BC118" i="2"/>
  <c r="BA119" i="2"/>
  <c r="BB119" i="2"/>
  <c r="BC119" i="2" s="1"/>
  <c r="BA120" i="2"/>
  <c r="BB120" i="2"/>
  <c r="BC120" i="2"/>
  <c r="BA121" i="2"/>
  <c r="BB121" i="2"/>
  <c r="BC121" i="2" s="1"/>
  <c r="BA122" i="2"/>
  <c r="BB122" i="2"/>
  <c r="BC122" i="2"/>
  <c r="BA123" i="2"/>
  <c r="BB123" i="2"/>
  <c r="BC123" i="2" s="1"/>
  <c r="BA124" i="2"/>
  <c r="BB124" i="2"/>
  <c r="BC124" i="2"/>
  <c r="BA125" i="2"/>
  <c r="BB125" i="2"/>
  <c r="BC125" i="2" s="1"/>
  <c r="BA126" i="2"/>
  <c r="BB126" i="2"/>
  <c r="BC126" i="2"/>
  <c r="BA127" i="2"/>
  <c r="BB127" i="2"/>
  <c r="BC127" i="2" s="1"/>
  <c r="BA128" i="2"/>
  <c r="BB128" i="2"/>
  <c r="BC128" i="2"/>
  <c r="BA129" i="2"/>
  <c r="BB129" i="2"/>
  <c r="BC129" i="2" s="1"/>
  <c r="BA130" i="2"/>
  <c r="BB130" i="2"/>
  <c r="BC130" i="2"/>
  <c r="BA131" i="2"/>
  <c r="BB131" i="2"/>
  <c r="BC131" i="2" s="1"/>
  <c r="BA132" i="2"/>
  <c r="BB132" i="2"/>
  <c r="BC132" i="2"/>
  <c r="BA133" i="2"/>
  <c r="BB133" i="2"/>
  <c r="BC133" i="2" s="1"/>
  <c r="BA134" i="2"/>
  <c r="BB134" i="2"/>
  <c r="BC134" i="2"/>
  <c r="BA135" i="2"/>
  <c r="BB135" i="2"/>
  <c r="BC135" i="2" s="1"/>
  <c r="BA136" i="2"/>
  <c r="BB136" i="2"/>
  <c r="BC136" i="2"/>
  <c r="BA137" i="2"/>
  <c r="BB137" i="2"/>
  <c r="BC137" i="2" s="1"/>
  <c r="BA138" i="2"/>
  <c r="BB138" i="2"/>
  <c r="BC138" i="2"/>
  <c r="BA139" i="2"/>
  <c r="BB139" i="2"/>
  <c r="BC139" i="2" s="1"/>
  <c r="BA140" i="2"/>
  <c r="BB140" i="2"/>
  <c r="BC140" i="2" s="1"/>
  <c r="BA141" i="2"/>
  <c r="BB141" i="2"/>
  <c r="BC141" i="2"/>
  <c r="BA142" i="2"/>
  <c r="BB142" i="2"/>
  <c r="BC142" i="2" s="1"/>
  <c r="BA143" i="2"/>
  <c r="BB143" i="2"/>
  <c r="BC143" i="2"/>
  <c r="BA144" i="2"/>
  <c r="BB144" i="2"/>
  <c r="BC144" i="2" s="1"/>
  <c r="BA145" i="2"/>
  <c r="BB145" i="2"/>
  <c r="BC145" i="2"/>
  <c r="BA146" i="2"/>
  <c r="BB146" i="2"/>
  <c r="BC146" i="2" s="1"/>
  <c r="BA147" i="2"/>
  <c r="BB147" i="2"/>
  <c r="BC147" i="2"/>
  <c r="BA148" i="2"/>
  <c r="BB148" i="2"/>
  <c r="BC148" i="2" s="1"/>
  <c r="BA149" i="2"/>
  <c r="BB149" i="2"/>
  <c r="BC149" i="2"/>
  <c r="BA150" i="2"/>
  <c r="BB150" i="2"/>
  <c r="BC150" i="2" s="1"/>
  <c r="BA151" i="2"/>
  <c r="BB151" i="2"/>
  <c r="BC151" i="2"/>
  <c r="BA152" i="2"/>
  <c r="BB152" i="2"/>
  <c r="BC152" i="2" s="1"/>
  <c r="BA153" i="2"/>
  <c r="BB153" i="2"/>
  <c r="BC153" i="2"/>
  <c r="BA154" i="2"/>
  <c r="BB154" i="2"/>
  <c r="BC154" i="2" s="1"/>
  <c r="BA155" i="2"/>
  <c r="BB155" i="2"/>
  <c r="BC155" i="2"/>
  <c r="BA156" i="2"/>
  <c r="BB156" i="2"/>
  <c r="BC156" i="2" s="1"/>
  <c r="BA157" i="2"/>
  <c r="BB157" i="2"/>
  <c r="BC157" i="2"/>
  <c r="BA158" i="2"/>
  <c r="BB158" i="2"/>
  <c r="BC158" i="2" s="1"/>
  <c r="BA159" i="2"/>
  <c r="BB159" i="2"/>
  <c r="BC159" i="2"/>
  <c r="BA160" i="2"/>
  <c r="BB160" i="2"/>
  <c r="BC160" i="2" s="1"/>
  <c r="BA161" i="2"/>
  <c r="BB161" i="2"/>
  <c r="BC161" i="2"/>
  <c r="BA162" i="2"/>
  <c r="BB162" i="2"/>
  <c r="BC162" i="2" s="1"/>
  <c r="BA163" i="2"/>
  <c r="BB163" i="2"/>
  <c r="BC163" i="2"/>
  <c r="BA164" i="2"/>
  <c r="BB164" i="2"/>
  <c r="BC164" i="2" s="1"/>
  <c r="BA165" i="2"/>
  <c r="BB165" i="2"/>
  <c r="BC165" i="2"/>
  <c r="BA166" i="2"/>
  <c r="BB166" i="2"/>
  <c r="BC166" i="2" s="1"/>
  <c r="BA167" i="2"/>
  <c r="BB167" i="2"/>
  <c r="BC167" i="2"/>
  <c r="BA168" i="2"/>
  <c r="BB168" i="2"/>
  <c r="BC168" i="2" s="1"/>
  <c r="BA169" i="2"/>
  <c r="BB169" i="2"/>
  <c r="BC169" i="2"/>
  <c r="BA170" i="2"/>
  <c r="BB170" i="2"/>
  <c r="BC170" i="2" s="1"/>
  <c r="BA171" i="2"/>
  <c r="BB171" i="2"/>
  <c r="BC171" i="2" s="1"/>
  <c r="BA172" i="2"/>
  <c r="BB172" i="2"/>
  <c r="BC172" i="2"/>
  <c r="BA173" i="2"/>
  <c r="BB173" i="2"/>
  <c r="BC173" i="2"/>
  <c r="BA174" i="2"/>
  <c r="BB174" i="2"/>
  <c r="BC174" i="2" s="1"/>
  <c r="BA175" i="2"/>
  <c r="BB175" i="2"/>
  <c r="BC175" i="2" s="1"/>
  <c r="BA176" i="2"/>
  <c r="BB176" i="2"/>
  <c r="BC176" i="2"/>
  <c r="BA177" i="2"/>
  <c r="BB177" i="2"/>
  <c r="BC177" i="2" s="1"/>
  <c r="BA178" i="2"/>
  <c r="BB178" i="2"/>
  <c r="BC178" i="2"/>
  <c r="BA179" i="2"/>
  <c r="BB179" i="2"/>
  <c r="BC179" i="2"/>
  <c r="BA180" i="2"/>
  <c r="BB180" i="2"/>
  <c r="BC180" i="2"/>
  <c r="BA181" i="2"/>
  <c r="BB181" i="2"/>
  <c r="BC181" i="2"/>
  <c r="BA182" i="2"/>
  <c r="BB182" i="2"/>
  <c r="BC182" i="2"/>
  <c r="BA183" i="2"/>
  <c r="BB183" i="2"/>
  <c r="BC183" i="2" s="1"/>
  <c r="BA184" i="2"/>
  <c r="BB184" i="2"/>
  <c r="BC184" i="2"/>
  <c r="BA185" i="2"/>
  <c r="BB185" i="2"/>
  <c r="BC185" i="2" s="1"/>
  <c r="BA186" i="2"/>
  <c r="BB186" i="2"/>
  <c r="BC186" i="2"/>
  <c r="BA187" i="2"/>
  <c r="BB187" i="2"/>
  <c r="BC187" i="2"/>
  <c r="BA188" i="2"/>
  <c r="BB188" i="2"/>
  <c r="BC188" i="2" s="1"/>
  <c r="BA189" i="2"/>
  <c r="BB189" i="2"/>
  <c r="BC189" i="2"/>
  <c r="BA190" i="2"/>
  <c r="BB190" i="2"/>
  <c r="BC190" i="2" s="1"/>
  <c r="BA191" i="2"/>
  <c r="BB191" i="2"/>
  <c r="BC191" i="2"/>
  <c r="BA192" i="2"/>
  <c r="BB192" i="2"/>
  <c r="BC192" i="2"/>
  <c r="BA193" i="2"/>
  <c r="BB193" i="2"/>
  <c r="BC193" i="2"/>
  <c r="BA194" i="2"/>
  <c r="BB194" i="2"/>
  <c r="BC194" i="2"/>
  <c r="BA195" i="2"/>
  <c r="BB195" i="2"/>
  <c r="BC195" i="2"/>
  <c r="BA196" i="2"/>
  <c r="BB196" i="2"/>
  <c r="BC196" i="2"/>
  <c r="BA197" i="2"/>
  <c r="BB197" i="2"/>
  <c r="BC197" i="2"/>
  <c r="BA198" i="2"/>
  <c r="BB198" i="2"/>
  <c r="BC198" i="2"/>
  <c r="BA199" i="2"/>
  <c r="BB199" i="2"/>
  <c r="BC199" i="2"/>
  <c r="BA200" i="2"/>
  <c r="BB200" i="2"/>
  <c r="BC200" i="2"/>
  <c r="BA201" i="2"/>
  <c r="BB201" i="2"/>
  <c r="BC201" i="2"/>
  <c r="BA202" i="2"/>
  <c r="BB202" i="2"/>
  <c r="BC202" i="2" s="1"/>
  <c r="BA203" i="2"/>
  <c r="BB203" i="2"/>
  <c r="BC203" i="2"/>
  <c r="BD203" i="2" s="1"/>
  <c r="BA204" i="2"/>
  <c r="BB204" i="2"/>
  <c r="BC204" i="2"/>
  <c r="BA205" i="2"/>
  <c r="BB205" i="2"/>
  <c r="BC205" i="2" s="1"/>
  <c r="BA206" i="2"/>
  <c r="BB206" i="2"/>
  <c r="BC206" i="2" s="1"/>
  <c r="BA207" i="2"/>
  <c r="BB207" i="2"/>
  <c r="BC207" i="2"/>
  <c r="BA208" i="2"/>
  <c r="BB208" i="2"/>
  <c r="BC208" i="2"/>
  <c r="BA209" i="2"/>
  <c r="BB209" i="2"/>
  <c r="BC209" i="2"/>
  <c r="BA210" i="2"/>
  <c r="BB210" i="2"/>
  <c r="BC210" i="2" s="1"/>
  <c r="BA211" i="2"/>
  <c r="BB211" i="2"/>
  <c r="BC211" i="2"/>
  <c r="BA212" i="2"/>
  <c r="BB212" i="2"/>
  <c r="BC212" i="2" s="1"/>
  <c r="BD212" i="2" s="1"/>
  <c r="BA213" i="2"/>
  <c r="BB213" i="2"/>
  <c r="BC213" i="2"/>
  <c r="BA214" i="2"/>
  <c r="BB214" i="2"/>
  <c r="BC214" i="2" s="1"/>
  <c r="BA215" i="2"/>
  <c r="BB215" i="2"/>
  <c r="BC215" i="2"/>
  <c r="BA216" i="2"/>
  <c r="BB216" i="2"/>
  <c r="BC216" i="2" s="1"/>
  <c r="BA217" i="2"/>
  <c r="BB217" i="2"/>
  <c r="BC217" i="2"/>
  <c r="BA218" i="2"/>
  <c r="BB218" i="2"/>
  <c r="BC218" i="2" s="1"/>
  <c r="BA219" i="2"/>
  <c r="BB219" i="2"/>
  <c r="BC219" i="2"/>
  <c r="BA220" i="2"/>
  <c r="BB220" i="2"/>
  <c r="BC220" i="2"/>
  <c r="BA221" i="2"/>
  <c r="BB221" i="2"/>
  <c r="BC221" i="2"/>
  <c r="BA222" i="2"/>
  <c r="BB222" i="2"/>
  <c r="BC222" i="2"/>
  <c r="BA223" i="2"/>
  <c r="BB223" i="2"/>
  <c r="BC223" i="2" s="1"/>
  <c r="BA224" i="2"/>
  <c r="BB224" i="2"/>
  <c r="BC224" i="2" s="1"/>
  <c r="BA225" i="2"/>
  <c r="BB225" i="2"/>
  <c r="BC225" i="2"/>
  <c r="BA226" i="2"/>
  <c r="BB226" i="2"/>
  <c r="BC226" i="2" s="1"/>
  <c r="BA227" i="2"/>
  <c r="BB227" i="2"/>
  <c r="BC227" i="2"/>
  <c r="BA228" i="2"/>
  <c r="BB228" i="2"/>
  <c r="BC228" i="2"/>
  <c r="BA229" i="2"/>
  <c r="BB229" i="2"/>
  <c r="BC229" i="2"/>
  <c r="BA230" i="2"/>
  <c r="BB230" i="2"/>
  <c r="BC230" i="2"/>
  <c r="BA231" i="2"/>
  <c r="BB231" i="2"/>
  <c r="BC231" i="2"/>
  <c r="BA232" i="2"/>
  <c r="BB232" i="2"/>
  <c r="BC232" i="2"/>
  <c r="BA233" i="2"/>
  <c r="BB233" i="2"/>
  <c r="BC233" i="2"/>
  <c r="BA234" i="2"/>
  <c r="BB234" i="2"/>
  <c r="BC234" i="2"/>
  <c r="BA235" i="2"/>
  <c r="BB235" i="2"/>
  <c r="BC235" i="2" s="1"/>
  <c r="BA236" i="2"/>
  <c r="BB236" i="2"/>
  <c r="BC236" i="2"/>
  <c r="BA237" i="2"/>
  <c r="BB237" i="2"/>
  <c r="BC237" i="2" s="1"/>
  <c r="BA238" i="2"/>
  <c r="BB238" i="2"/>
  <c r="BC238" i="2"/>
  <c r="BA239" i="2"/>
  <c r="BB239" i="2"/>
  <c r="BC239" i="2"/>
  <c r="BA240" i="2"/>
  <c r="BB240" i="2"/>
  <c r="BC240" i="2"/>
  <c r="BA241" i="2"/>
  <c r="BB241" i="2"/>
  <c r="BC241" i="2" s="1"/>
  <c r="BA242" i="2"/>
  <c r="BB242" i="2"/>
  <c r="BC242" i="2"/>
  <c r="BA243" i="2"/>
  <c r="BB243" i="2"/>
  <c r="BC243" i="2" s="1"/>
  <c r="BA244" i="2"/>
  <c r="BB244" i="2"/>
  <c r="BC244" i="2"/>
  <c r="BA245" i="2"/>
  <c r="BB245" i="2"/>
  <c r="BC245" i="2" s="1"/>
  <c r="BA246" i="2"/>
  <c r="BB246" i="2"/>
  <c r="BC246" i="2"/>
  <c r="BA247" i="2"/>
  <c r="BB247" i="2"/>
  <c r="BC247" i="2" s="1"/>
  <c r="BA248" i="2"/>
  <c r="BB248" i="2"/>
  <c r="BC248" i="2"/>
  <c r="BA249" i="2"/>
  <c r="BB249" i="2"/>
  <c r="BC249" i="2" s="1"/>
  <c r="BA250" i="2"/>
  <c r="BB250" i="2"/>
  <c r="BC250" i="2"/>
  <c r="BA251" i="2"/>
  <c r="BB251" i="2"/>
  <c r="BC251" i="2"/>
  <c r="BA252" i="2"/>
  <c r="BB252" i="2"/>
  <c r="BC252" i="2" s="1"/>
  <c r="BA253" i="2"/>
  <c r="BB253" i="2"/>
  <c r="BC253" i="2"/>
  <c r="BA254" i="2"/>
  <c r="BB254" i="2"/>
  <c r="BC254" i="2" s="1"/>
  <c r="BA255" i="2"/>
  <c r="BB255" i="2"/>
  <c r="BC255" i="2"/>
  <c r="BA256" i="2"/>
  <c r="BB256" i="2"/>
  <c r="BC256" i="2" s="1"/>
  <c r="BA257" i="2"/>
  <c r="BB257" i="2"/>
  <c r="BC257" i="2"/>
  <c r="BA258" i="2"/>
  <c r="BB258" i="2"/>
  <c r="BC258" i="2" s="1"/>
  <c r="BA259" i="2"/>
  <c r="BB259" i="2"/>
  <c r="BC259" i="2"/>
  <c r="BA260" i="2"/>
  <c r="BB260" i="2"/>
  <c r="BC260" i="2" s="1"/>
  <c r="BA261" i="2"/>
  <c r="BB261" i="2"/>
  <c r="BC261" i="2" s="1"/>
  <c r="BA262" i="2"/>
  <c r="BA263" i="2"/>
  <c r="BB263" i="2"/>
  <c r="BC263" i="2" s="1"/>
  <c r="BA264" i="2"/>
  <c r="BB264" i="2"/>
  <c r="BC264" i="2"/>
  <c r="BA265" i="2"/>
  <c r="BB265" i="2"/>
  <c r="BC265" i="2" s="1"/>
  <c r="BA266" i="2"/>
  <c r="BB266" i="2"/>
  <c r="BC266" i="2"/>
  <c r="BA267" i="2"/>
  <c r="BB267" i="2"/>
  <c r="BC267" i="2" s="1"/>
  <c r="BA268" i="2"/>
  <c r="BB268" i="2"/>
  <c r="BC268" i="2"/>
  <c r="BA269" i="2"/>
  <c r="BB269" i="2"/>
  <c r="BC269" i="2" s="1"/>
  <c r="BA270" i="2"/>
  <c r="BB270" i="2"/>
  <c r="BC270" i="2"/>
  <c r="BA271" i="2"/>
  <c r="BB271" i="2"/>
  <c r="BC271" i="2" s="1"/>
  <c r="BA272" i="2"/>
  <c r="BB272" i="2"/>
  <c r="BC272" i="2"/>
  <c r="BA273" i="2"/>
  <c r="BB273" i="2"/>
  <c r="BC273" i="2" s="1"/>
  <c r="BA274" i="2"/>
  <c r="BB274" i="2"/>
  <c r="BC274" i="2"/>
  <c r="BA275" i="2"/>
  <c r="BB275" i="2"/>
  <c r="BC275" i="2" s="1"/>
  <c r="BA276" i="2"/>
  <c r="BB276" i="2"/>
  <c r="BC276" i="2"/>
  <c r="BA277" i="2"/>
  <c r="BB277" i="2"/>
  <c r="BC277" i="2" s="1"/>
  <c r="BA278" i="2"/>
  <c r="BB278" i="2"/>
  <c r="BC278" i="2" s="1"/>
  <c r="BA279" i="2"/>
  <c r="BB279" i="2"/>
  <c r="BC279" i="2"/>
  <c r="BA280" i="2"/>
  <c r="BB280" i="2"/>
  <c r="BC280" i="2" s="1"/>
  <c r="BA281" i="2"/>
  <c r="BB281" i="2"/>
  <c r="BC281" i="2"/>
  <c r="BA282" i="2"/>
  <c r="BB282" i="2"/>
  <c r="BC282" i="2"/>
  <c r="BA283" i="2"/>
  <c r="BB283" i="2"/>
  <c r="BC283" i="2" s="1"/>
  <c r="BA284" i="2"/>
  <c r="BB284" i="2"/>
  <c r="BC284" i="2"/>
  <c r="BA285" i="2"/>
  <c r="BB285" i="2"/>
  <c r="BC285" i="2"/>
  <c r="BA286" i="2"/>
  <c r="BB286" i="2"/>
  <c r="BC286" i="2"/>
  <c r="BA287" i="2"/>
  <c r="BB287" i="2"/>
  <c r="BC287" i="2" s="1"/>
  <c r="BA288" i="2"/>
  <c r="BB288" i="2"/>
  <c r="BC288" i="2"/>
  <c r="BA289" i="2"/>
  <c r="BB289" i="2"/>
  <c r="BC289" i="2" s="1"/>
  <c r="BA290" i="2"/>
  <c r="BB290" i="2"/>
  <c r="BC290" i="2"/>
  <c r="BA291" i="2"/>
  <c r="BB291" i="2"/>
  <c r="BC291" i="2" s="1"/>
  <c r="BA292" i="2"/>
  <c r="BB292" i="2"/>
  <c r="BC292" i="2" s="1"/>
  <c r="BA293" i="2"/>
  <c r="BB293" i="2"/>
  <c r="BC293" i="2"/>
  <c r="BA294" i="2"/>
  <c r="BB294" i="2"/>
  <c r="BC294" i="2" s="1"/>
  <c r="BA295" i="2"/>
  <c r="BB295" i="2"/>
  <c r="BC295" i="2"/>
  <c r="BA296" i="2"/>
  <c r="BB296" i="2"/>
  <c r="BC296" i="2"/>
  <c r="BA297" i="2"/>
  <c r="BB297" i="2"/>
  <c r="BC297" i="2" s="1"/>
  <c r="BA298" i="2"/>
  <c r="BA299" i="2"/>
  <c r="BB299" i="2"/>
  <c r="BC299" i="2"/>
  <c r="BA300" i="2"/>
  <c r="BB300" i="2"/>
  <c r="BC300" i="2"/>
  <c r="BA301" i="2"/>
  <c r="BB301" i="2"/>
  <c r="BC301" i="2"/>
  <c r="BA302" i="2"/>
  <c r="BB302" i="2"/>
  <c r="BC302" i="2"/>
  <c r="BA303" i="2"/>
  <c r="BB303" i="2"/>
  <c r="BC303" i="2"/>
  <c r="BA304" i="2"/>
  <c r="BB304" i="2"/>
  <c r="BC304" i="2"/>
  <c r="BA305" i="2"/>
  <c r="BB305" i="2"/>
  <c r="BC305" i="2"/>
  <c r="BA306" i="2"/>
  <c r="BB306" i="2"/>
  <c r="BC306" i="2"/>
  <c r="BA307" i="2"/>
  <c r="BB307" i="2"/>
  <c r="BC307" i="2"/>
  <c r="BA308" i="2"/>
  <c r="BB308" i="2"/>
  <c r="BC308" i="2" s="1"/>
  <c r="BA309" i="2"/>
  <c r="BB309" i="2"/>
  <c r="BC309" i="2"/>
  <c r="BA310" i="2"/>
  <c r="BB310" i="2"/>
  <c r="BC310" i="2" s="1"/>
  <c r="BA311" i="2"/>
  <c r="BB311" i="2"/>
  <c r="BC311" i="2"/>
  <c r="BA312" i="2"/>
  <c r="BB312" i="2"/>
  <c r="BC312" i="2"/>
  <c r="BA313" i="2"/>
  <c r="BB313" i="2"/>
  <c r="BC313" i="2" s="1"/>
  <c r="BA314" i="2"/>
  <c r="BB314" i="2"/>
  <c r="BC314" i="2"/>
  <c r="BA315" i="2"/>
  <c r="BB315" i="2"/>
  <c r="BC315" i="2" s="1"/>
  <c r="BA316" i="2"/>
  <c r="BB316" i="2"/>
  <c r="BC316" i="2"/>
  <c r="BA317" i="2"/>
  <c r="BB317" i="2"/>
  <c r="BC317" i="2" s="1"/>
  <c r="BA318" i="2"/>
  <c r="BB318" i="2"/>
  <c r="BC318" i="2" s="1"/>
  <c r="BA319" i="2"/>
  <c r="BB319" i="2"/>
  <c r="BC319" i="2"/>
  <c r="BA320" i="2"/>
  <c r="BB320" i="2"/>
  <c r="BC320" i="2"/>
  <c r="BA321" i="2"/>
  <c r="BB321" i="2"/>
  <c r="BC321" i="2" s="1"/>
  <c r="BA322" i="2"/>
  <c r="BB322" i="2"/>
  <c r="BC322" i="2"/>
  <c r="BA323" i="2"/>
  <c r="BB323" i="2"/>
  <c r="BC323" i="2" s="1"/>
  <c r="BA324" i="2"/>
  <c r="BB324" i="2"/>
  <c r="BC324" i="2"/>
  <c r="BA325" i="2"/>
  <c r="BB325" i="2"/>
  <c r="BC325" i="2" s="1"/>
  <c r="BA326" i="2"/>
  <c r="BB326" i="2"/>
  <c r="BC326" i="2"/>
  <c r="BA327" i="2"/>
  <c r="BB327" i="2"/>
  <c r="BC327" i="2" s="1"/>
  <c r="BA328" i="2"/>
  <c r="BB328" i="2"/>
  <c r="BC328" i="2"/>
  <c r="BA329" i="2"/>
  <c r="BB329" i="2"/>
  <c r="BC329" i="2" s="1"/>
  <c r="BA330" i="2"/>
  <c r="BB330" i="2"/>
  <c r="BA331" i="2"/>
  <c r="BB331" i="2"/>
  <c r="BA332" i="2"/>
  <c r="BB332" i="2"/>
  <c r="BC332" i="2" s="1"/>
  <c r="BD330" i="2" s="1"/>
  <c r="BA333" i="2"/>
  <c r="BB333" i="2"/>
  <c r="BA334" i="2"/>
  <c r="BB334" i="2"/>
  <c r="BC334" i="2"/>
  <c r="BA335" i="2"/>
  <c r="BB335" i="2"/>
  <c r="BC335" i="2"/>
  <c r="BA336" i="2"/>
  <c r="BB336" i="2"/>
  <c r="BC336" i="2" s="1"/>
  <c r="BA337" i="2"/>
  <c r="BB337" i="2"/>
  <c r="BC337" i="2"/>
  <c r="BA338" i="2"/>
  <c r="BB338" i="2"/>
  <c r="BC338" i="2" s="1"/>
  <c r="BA339" i="2"/>
  <c r="BB339" i="2"/>
  <c r="BC339" i="2"/>
  <c r="BA340" i="2"/>
  <c r="BB340" i="2"/>
  <c r="BC340" i="2" s="1"/>
  <c r="BA341" i="2"/>
  <c r="BB341" i="2"/>
  <c r="BC341" i="2" s="1"/>
  <c r="BA342" i="2"/>
  <c r="BB342" i="2"/>
  <c r="BC342" i="2"/>
  <c r="BA343" i="2"/>
  <c r="BB343" i="2"/>
  <c r="BC343" i="2"/>
  <c r="BA344" i="2"/>
  <c r="BB344" i="2"/>
  <c r="BC344" i="2" s="1"/>
  <c r="BA345" i="2"/>
  <c r="BB345" i="2"/>
  <c r="BC345" i="2"/>
  <c r="BA346" i="2"/>
  <c r="BB346" i="2"/>
  <c r="BC346" i="2" s="1"/>
  <c r="BB347" i="2"/>
  <c r="BB348" i="2"/>
  <c r="BA349" i="2"/>
  <c r="BB349" i="2"/>
  <c r="BC349" i="2"/>
  <c r="BA350" i="2"/>
  <c r="BB350" i="2"/>
  <c r="BC350" i="2"/>
  <c r="BD350" i="2" s="1"/>
  <c r="BA351" i="2"/>
  <c r="BB351" i="2"/>
  <c r="BC351" i="2"/>
  <c r="BA352" i="2"/>
  <c r="BB352" i="2"/>
  <c r="BC352" i="2"/>
  <c r="BA353" i="2"/>
  <c r="BB353" i="2"/>
  <c r="BC353" i="2" s="1"/>
  <c r="BA354" i="2"/>
  <c r="BB354" i="2"/>
  <c r="BC354" i="2"/>
  <c r="BA355" i="2"/>
  <c r="BB355" i="2"/>
  <c r="BC355" i="2" s="1"/>
  <c r="BA356" i="2"/>
  <c r="BB356" i="2"/>
  <c r="BC356" i="2"/>
  <c r="BA357" i="2"/>
  <c r="BB357" i="2"/>
  <c r="BC357" i="2"/>
  <c r="BA358" i="2"/>
  <c r="BB358" i="2"/>
  <c r="BC358" i="2"/>
  <c r="BD358" i="2" s="1"/>
  <c r="BA359" i="2"/>
  <c r="BB359" i="2"/>
  <c r="BC359" i="2"/>
  <c r="BA360" i="2"/>
  <c r="BB360" i="2"/>
  <c r="BC360" i="2"/>
  <c r="BA361" i="2"/>
  <c r="BB361" i="2"/>
  <c r="BC361" i="2" s="1"/>
  <c r="BA362" i="2"/>
  <c r="BB362" i="2"/>
  <c r="BC362" i="2" s="1"/>
  <c r="BA363" i="2"/>
  <c r="BB363" i="2"/>
  <c r="BC363" i="2"/>
  <c r="BA364" i="2"/>
  <c r="BB364" i="2"/>
  <c r="BC364" i="2"/>
  <c r="BA365" i="2"/>
  <c r="BB365" i="2"/>
  <c r="BC365" i="2" s="1"/>
  <c r="BA366" i="2"/>
  <c r="BB366" i="2"/>
  <c r="BC366" i="2"/>
  <c r="BA367" i="2"/>
  <c r="BA368" i="2"/>
  <c r="BB368" i="2"/>
  <c r="BC368" i="2"/>
  <c r="BA369" i="2"/>
  <c r="BB369" i="2"/>
  <c r="BC369" i="2"/>
  <c r="BA370" i="2"/>
  <c r="BB370" i="2"/>
  <c r="BC370" i="2"/>
  <c r="BA371" i="2"/>
  <c r="BB371" i="2"/>
  <c r="BC371" i="2"/>
  <c r="BA372" i="2"/>
  <c r="BB372" i="2"/>
  <c r="BC372" i="2"/>
  <c r="BA373" i="2"/>
  <c r="BB373" i="2"/>
  <c r="BC373" i="2"/>
  <c r="O7" i="2"/>
  <c r="BD317" i="2" l="1"/>
  <c r="BD291" i="2"/>
  <c r="BD205" i="2"/>
  <c r="BD185" i="2"/>
  <c r="BD139" i="2"/>
  <c r="BD352" i="2"/>
  <c r="BD334" i="2"/>
  <c r="BD319" i="2"/>
  <c r="BD223" i="2"/>
  <c r="BD214" i="2"/>
  <c r="BD103" i="2"/>
  <c r="BD17" i="2"/>
  <c r="BI161" i="9"/>
  <c r="BI160" i="9"/>
  <c r="AI138" i="9"/>
  <c r="AJ138" i="9" s="1"/>
  <c r="AJ258" i="9"/>
  <c r="O348" i="2"/>
  <c r="BE137" i="9" l="1"/>
  <c r="BE136" i="9"/>
  <c r="AI231" i="9"/>
  <c r="BD231" i="9" s="1"/>
  <c r="AI225" i="9"/>
  <c r="AG225" i="9"/>
  <c r="Z225" i="9"/>
  <c r="AA225" i="9" s="1"/>
  <c r="AI224" i="9"/>
  <c r="BD224" i="9" s="1"/>
  <c r="AI370" i="9"/>
  <c r="AI369" i="9"/>
  <c r="AJ369" i="9" s="1"/>
  <c r="BE369" i="9" s="1"/>
  <c r="AI368" i="9"/>
  <c r="BD368" i="9" s="1"/>
  <c r="AI358" i="9"/>
  <c r="AJ358" i="9" s="1"/>
  <c r="BE358" i="9" s="1"/>
  <c r="AI357" i="9"/>
  <c r="BD357" i="9" s="1"/>
  <c r="AI356" i="9"/>
  <c r="AJ356" i="9" s="1"/>
  <c r="AI355" i="9"/>
  <c r="AJ355" i="9" s="1"/>
  <c r="AI354" i="9"/>
  <c r="AJ354" i="9" s="1"/>
  <c r="BE354" i="9" s="1"/>
  <c r="AI353" i="9"/>
  <c r="AJ353" i="9" s="1"/>
  <c r="BE353" i="9" s="1"/>
  <c r="AF351" i="9"/>
  <c r="AG351" i="9" s="1"/>
  <c r="AI351" i="9"/>
  <c r="AJ351" i="9" s="1"/>
  <c r="BE349" i="9"/>
  <c r="BD349" i="9"/>
  <c r="BD341" i="9"/>
  <c r="BE340" i="9"/>
  <c r="BD340" i="9"/>
  <c r="AI329" i="9"/>
  <c r="BD329" i="9" s="1"/>
  <c r="AJ328" i="9"/>
  <c r="BE328" i="9" s="1"/>
  <c r="AJ327" i="9"/>
  <c r="BE327" i="9" s="1"/>
  <c r="AI325" i="9"/>
  <c r="AI303" i="9"/>
  <c r="AJ303" i="9" s="1"/>
  <c r="AI300" i="9"/>
  <c r="AJ300" i="9" s="1"/>
  <c r="AI299" i="9"/>
  <c r="AJ299" i="9" s="1"/>
  <c r="AI298" i="9"/>
  <c r="BD298" i="9" s="1"/>
  <c r="AI297" i="9"/>
  <c r="AI292" i="9"/>
  <c r="BD292" i="9" s="1"/>
  <c r="AI291" i="9"/>
  <c r="BD291" i="9" s="1"/>
  <c r="AG289" i="9"/>
  <c r="AD289" i="9"/>
  <c r="AA289" i="9"/>
  <c r="X289" i="9"/>
  <c r="X288" i="9"/>
  <c r="AJ288" i="9"/>
  <c r="AJ287" i="9"/>
  <c r="AJ284" i="9"/>
  <c r="AI282" i="9"/>
  <c r="BD282" i="9" s="1"/>
  <c r="AI267" i="9"/>
  <c r="BE223" i="9"/>
  <c r="AJ207" i="9"/>
  <c r="BE207" i="9" s="1"/>
  <c r="AI206" i="9"/>
  <c r="BD206" i="9" s="1"/>
  <c r="AI200" i="9"/>
  <c r="AJ200" i="9" s="1"/>
  <c r="AI199" i="9"/>
  <c r="AJ198" i="9"/>
  <c r="AI197" i="9"/>
  <c r="AJ197" i="9" s="1"/>
  <c r="AI196" i="9"/>
  <c r="AJ196" i="9" s="1"/>
  <c r="AI195" i="9"/>
  <c r="AJ195" i="9" s="1"/>
  <c r="AI194" i="9"/>
  <c r="AJ194" i="9" s="1"/>
  <c r="AJ193" i="9"/>
  <c r="AI192" i="9"/>
  <c r="AJ192" i="9" s="1"/>
  <c r="AI179" i="9"/>
  <c r="AJ179" i="9" s="1"/>
  <c r="AI177" i="9"/>
  <c r="AJ147" i="9"/>
  <c r="BE147" i="9" s="1"/>
  <c r="AI142" i="9"/>
  <c r="AI141" i="9"/>
  <c r="BD141" i="9" s="1"/>
  <c r="AI139" i="9"/>
  <c r="BD139" i="9" s="1"/>
  <c r="AI125" i="9"/>
  <c r="AJ125" i="9" s="1"/>
  <c r="BE125" i="9" s="1"/>
  <c r="AI123" i="9"/>
  <c r="AJ123" i="9" s="1"/>
  <c r="AI105" i="9"/>
  <c r="BD105" i="9" s="1"/>
  <c r="AI103" i="9"/>
  <c r="AJ103" i="9" s="1"/>
  <c r="AI93" i="9"/>
  <c r="AI92" i="9"/>
  <c r="AJ92" i="9" s="1"/>
  <c r="AI91" i="9"/>
  <c r="BD91" i="9" s="1"/>
  <c r="AI88" i="9"/>
  <c r="AJ88" i="9" s="1"/>
  <c r="BE88" i="9" s="1"/>
  <c r="AI82" i="9"/>
  <c r="BD82" i="9" s="1"/>
  <c r="AI77" i="9"/>
  <c r="AJ77" i="9" s="1"/>
  <c r="BE77" i="9" s="1"/>
  <c r="AI75" i="9"/>
  <c r="BD75" i="9" s="1"/>
  <c r="AI74" i="9"/>
  <c r="BD74" i="9" s="1"/>
  <c r="AI53" i="9"/>
  <c r="AI48" i="9"/>
  <c r="AI19" i="9"/>
  <c r="BD19" i="9" s="1"/>
  <c r="AI16" i="9"/>
  <c r="BD16" i="9" s="1"/>
  <c r="AI12" i="9"/>
  <c r="BD12" i="9" s="1"/>
  <c r="AI11" i="9"/>
  <c r="AI8" i="9"/>
  <c r="AJ8" i="9" s="1"/>
  <c r="BE8" i="9" s="1"/>
  <c r="AI7" i="9"/>
  <c r="BD7" i="9" s="1"/>
  <c r="AG6" i="9"/>
  <c r="U6" i="9"/>
  <c r="AI6" i="9"/>
  <c r="BD6" i="9" s="1"/>
  <c r="X279" i="9"/>
  <c r="BE279" i="9" s="1"/>
  <c r="AJ278" i="9"/>
  <c r="AA278" i="9"/>
  <c r="U278" i="9"/>
  <c r="BE113" i="9"/>
  <c r="BD113" i="9"/>
  <c r="AJ41" i="9"/>
  <c r="AG41" i="9"/>
  <c r="AJ39" i="9"/>
  <c r="AG39" i="9"/>
  <c r="BE372" i="9"/>
  <c r="BD372" i="9"/>
  <c r="BE371" i="9"/>
  <c r="BD371" i="9"/>
  <c r="BE368" i="9"/>
  <c r="BE367" i="9"/>
  <c r="BD367" i="9"/>
  <c r="BE366" i="9"/>
  <c r="BD366" i="9"/>
  <c r="BE365" i="9"/>
  <c r="BD365" i="9"/>
  <c r="BE364" i="9"/>
  <c r="BD364" i="9"/>
  <c r="BE363" i="9"/>
  <c r="BD363" i="9"/>
  <c r="BE362" i="9"/>
  <c r="BD362" i="9"/>
  <c r="BE361" i="9"/>
  <c r="BD361" i="9"/>
  <c r="BE360" i="9"/>
  <c r="BD360" i="9"/>
  <c r="BE359" i="9"/>
  <c r="BD359" i="9"/>
  <c r="BE352" i="9"/>
  <c r="BD352" i="9"/>
  <c r="BE350" i="9"/>
  <c r="BD350" i="9"/>
  <c r="BE348" i="9"/>
  <c r="BD348" i="9"/>
  <c r="BD347" i="9"/>
  <c r="BE346" i="9"/>
  <c r="BD346" i="9"/>
  <c r="BE345" i="9"/>
  <c r="BD345" i="9"/>
  <c r="BE344" i="9"/>
  <c r="BD344" i="9"/>
  <c r="BE343" i="9"/>
  <c r="BD343" i="9"/>
  <c r="BE342" i="9"/>
  <c r="BD342" i="9"/>
  <c r="BE341" i="9"/>
  <c r="BE339" i="9"/>
  <c r="BD339" i="9"/>
  <c r="BE338" i="9"/>
  <c r="BD338" i="9"/>
  <c r="BE337" i="9"/>
  <c r="BD337" i="9"/>
  <c r="BE336" i="9"/>
  <c r="BD336" i="9"/>
  <c r="BE335" i="9"/>
  <c r="BD335" i="9"/>
  <c r="BE334" i="9"/>
  <c r="BD334" i="9"/>
  <c r="BE333" i="9"/>
  <c r="BD333" i="9"/>
  <c r="BE332" i="9"/>
  <c r="BD332" i="9"/>
  <c r="BE331" i="9"/>
  <c r="BD331" i="9"/>
  <c r="BE330" i="9"/>
  <c r="BD330" i="9"/>
  <c r="BD328" i="9"/>
  <c r="BD327" i="9"/>
  <c r="BE326" i="9"/>
  <c r="BD326" i="9"/>
  <c r="BE324" i="9"/>
  <c r="BD324" i="9"/>
  <c r="BE323" i="9"/>
  <c r="BD323" i="9"/>
  <c r="BE322" i="9"/>
  <c r="BD322" i="9"/>
  <c r="BE321" i="9"/>
  <c r="BD321" i="9"/>
  <c r="BE320" i="9"/>
  <c r="BD320" i="9"/>
  <c r="BE319" i="9"/>
  <c r="BD319" i="9"/>
  <c r="BE318" i="9"/>
  <c r="BD318" i="9"/>
  <c r="BE317" i="9"/>
  <c r="BD317" i="9"/>
  <c r="BE316" i="9"/>
  <c r="BD316" i="9"/>
  <c r="BE315" i="9"/>
  <c r="BD315" i="9"/>
  <c r="BE314" i="9"/>
  <c r="BD314" i="9"/>
  <c r="BE313" i="9"/>
  <c r="BD313" i="9"/>
  <c r="BE312" i="9"/>
  <c r="BD312" i="9"/>
  <c r="BE311" i="9"/>
  <c r="BD311" i="9"/>
  <c r="BE310" i="9"/>
  <c r="BD310" i="9"/>
  <c r="BE309" i="9"/>
  <c r="BD309" i="9"/>
  <c r="BE308" i="9"/>
  <c r="BD308" i="9"/>
  <c r="BE307" i="9"/>
  <c r="BD307" i="9"/>
  <c r="BE306" i="9"/>
  <c r="BD306" i="9"/>
  <c r="BE305" i="9"/>
  <c r="BD305" i="9"/>
  <c r="BE304" i="9"/>
  <c r="BD304" i="9"/>
  <c r="BE302" i="9"/>
  <c r="BD302" i="9"/>
  <c r="BE301" i="9"/>
  <c r="BD301" i="9"/>
  <c r="BE298" i="9"/>
  <c r="BE296" i="9"/>
  <c r="BD296" i="9"/>
  <c r="BE295" i="9"/>
  <c r="BD295" i="9"/>
  <c r="BD294" i="9"/>
  <c r="BD293" i="9"/>
  <c r="BE290" i="9"/>
  <c r="BD290" i="9"/>
  <c r="BD289" i="9"/>
  <c r="BD288" i="9"/>
  <c r="BD287" i="9"/>
  <c r="BD286" i="9"/>
  <c r="BE285" i="9"/>
  <c r="BD285" i="9"/>
  <c r="BE283" i="9"/>
  <c r="BD283" i="9"/>
  <c r="BE282" i="9"/>
  <c r="BD278" i="9"/>
  <c r="BE277" i="9"/>
  <c r="BD277" i="9"/>
  <c r="BE276" i="9"/>
  <c r="BE275" i="9"/>
  <c r="BD275" i="9"/>
  <c r="BE274" i="9"/>
  <c r="BD274" i="9"/>
  <c r="BE273" i="9"/>
  <c r="BD273" i="9"/>
  <c r="BE272" i="9"/>
  <c r="BD272" i="9"/>
  <c r="BE271" i="9"/>
  <c r="BD271" i="9"/>
  <c r="BE270" i="9"/>
  <c r="BD270" i="9"/>
  <c r="BE269" i="9"/>
  <c r="BD269" i="9"/>
  <c r="BE268" i="9"/>
  <c r="BD268" i="9"/>
  <c r="BE267" i="9"/>
  <c r="BD266" i="9"/>
  <c r="BE265" i="9"/>
  <c r="BD265" i="9"/>
  <c r="BE264" i="9"/>
  <c r="BD264" i="9"/>
  <c r="BE263" i="9"/>
  <c r="BD263" i="9"/>
  <c r="BE262" i="9"/>
  <c r="BD262" i="9"/>
  <c r="BD261" i="9"/>
  <c r="BE260" i="9"/>
  <c r="BD260" i="9"/>
  <c r="BE259" i="9"/>
  <c r="BD259" i="9"/>
  <c r="BE258" i="9"/>
  <c r="BD258" i="9"/>
  <c r="BE257" i="9"/>
  <c r="BD257" i="9"/>
  <c r="BE256" i="9"/>
  <c r="BD256" i="9"/>
  <c r="BE255" i="9"/>
  <c r="BD255" i="9"/>
  <c r="BE254" i="9"/>
  <c r="BD254" i="9"/>
  <c r="BE253" i="9"/>
  <c r="BD253" i="9"/>
  <c r="BE252" i="9"/>
  <c r="BE250" i="9"/>
  <c r="BD250" i="9"/>
  <c r="BE249" i="9"/>
  <c r="BE247" i="9"/>
  <c r="BE246" i="9"/>
  <c r="BD246" i="9"/>
  <c r="BE245" i="9"/>
  <c r="BD245" i="9"/>
  <c r="BE244" i="9"/>
  <c r="BD244" i="9"/>
  <c r="BE243" i="9"/>
  <c r="BD243" i="9"/>
  <c r="BE242" i="9"/>
  <c r="BD242" i="9"/>
  <c r="BE241" i="9"/>
  <c r="BD241" i="9"/>
  <c r="BE240" i="9"/>
  <c r="BD240" i="9"/>
  <c r="BE239" i="9"/>
  <c r="BD239" i="9"/>
  <c r="BE238" i="9"/>
  <c r="BD238" i="9"/>
  <c r="BE237" i="9"/>
  <c r="BD237" i="9"/>
  <c r="BE236" i="9"/>
  <c r="BD236" i="9"/>
  <c r="BE235" i="9"/>
  <c r="BD235" i="9"/>
  <c r="BE234" i="9"/>
  <c r="BD234" i="9"/>
  <c r="BE233" i="9"/>
  <c r="BD233" i="9"/>
  <c r="BE232" i="9"/>
  <c r="BD232" i="9"/>
  <c r="BE231" i="9"/>
  <c r="BE230" i="9"/>
  <c r="BD230" i="9"/>
  <c r="BE229" i="9"/>
  <c r="BD229" i="9"/>
  <c r="BE228" i="9"/>
  <c r="BD228" i="9"/>
  <c r="BE227" i="9"/>
  <c r="BD227" i="9"/>
  <c r="BE226" i="9"/>
  <c r="BD226" i="9"/>
  <c r="BD223" i="9"/>
  <c r="BE222" i="9"/>
  <c r="BD222" i="9"/>
  <c r="BE221" i="9"/>
  <c r="BD221" i="9"/>
  <c r="BE220" i="9"/>
  <c r="BD220" i="9"/>
  <c r="BE219" i="9"/>
  <c r="BD219" i="9"/>
  <c r="BE218" i="9"/>
  <c r="BD218" i="9"/>
  <c r="BE217" i="9"/>
  <c r="BD217" i="9"/>
  <c r="BE216" i="9"/>
  <c r="BD216" i="9"/>
  <c r="BE215" i="9"/>
  <c r="BD215" i="9"/>
  <c r="BE214" i="9"/>
  <c r="BD214" i="9"/>
  <c r="BE213" i="9"/>
  <c r="BD213" i="9"/>
  <c r="BE212" i="9"/>
  <c r="BD212" i="9"/>
  <c r="BE211" i="9"/>
  <c r="BD211" i="9"/>
  <c r="BE210" i="9"/>
  <c r="BD210" i="9"/>
  <c r="BE209" i="9"/>
  <c r="BD209" i="9"/>
  <c r="BE208" i="9"/>
  <c r="BD208" i="9"/>
  <c r="BD207" i="9"/>
  <c r="BE206" i="9"/>
  <c r="BE205" i="9"/>
  <c r="BD205" i="9"/>
  <c r="BE203" i="9"/>
  <c r="BD203" i="9"/>
  <c r="BE202" i="9"/>
  <c r="BD202" i="9"/>
  <c r="BE201" i="9"/>
  <c r="BD201" i="9"/>
  <c r="BE191" i="9"/>
  <c r="BD191" i="9"/>
  <c r="BE190" i="9"/>
  <c r="BD190" i="9"/>
  <c r="BE189" i="9"/>
  <c r="BD189" i="9"/>
  <c r="BE188" i="9"/>
  <c r="BD188" i="9"/>
  <c r="BE187" i="9"/>
  <c r="BD187" i="9"/>
  <c r="BE186" i="9"/>
  <c r="BD186" i="9"/>
  <c r="BE185" i="9"/>
  <c r="BD185" i="9"/>
  <c r="BE184" i="9"/>
  <c r="BD184" i="9"/>
  <c r="BE183" i="9"/>
  <c r="BD183" i="9"/>
  <c r="BE182" i="9"/>
  <c r="BD182" i="9"/>
  <c r="BE181" i="9"/>
  <c r="BD181" i="9"/>
  <c r="BE178" i="9"/>
  <c r="BE176" i="9"/>
  <c r="BD176" i="9"/>
  <c r="BE175" i="9"/>
  <c r="BD175" i="9"/>
  <c r="BE174" i="9"/>
  <c r="BD174" i="9"/>
  <c r="BE173" i="9"/>
  <c r="BD173" i="9"/>
  <c r="BE172" i="9"/>
  <c r="BD172" i="9"/>
  <c r="BE171" i="9"/>
  <c r="BD171" i="9"/>
  <c r="BE170" i="9"/>
  <c r="BD170" i="9"/>
  <c r="BE169" i="9"/>
  <c r="BD169" i="9"/>
  <c r="BE168" i="9"/>
  <c r="BD168" i="9"/>
  <c r="BE167" i="9"/>
  <c r="BD167" i="9"/>
  <c r="BE166" i="9"/>
  <c r="BE165" i="9"/>
  <c r="BD165" i="9"/>
  <c r="BE164" i="9"/>
  <c r="BD164" i="9"/>
  <c r="BE163" i="9"/>
  <c r="BD163" i="9"/>
  <c r="BE162" i="9"/>
  <c r="BD162" i="9"/>
  <c r="BE161" i="9"/>
  <c r="BD161" i="9"/>
  <c r="BE160" i="9"/>
  <c r="BD160" i="9"/>
  <c r="BE159" i="9"/>
  <c r="BD159" i="9"/>
  <c r="BE158" i="9"/>
  <c r="BD158" i="9"/>
  <c r="BE157" i="9"/>
  <c r="BD157" i="9"/>
  <c r="BE156" i="9"/>
  <c r="BD156" i="9"/>
  <c r="BE155" i="9"/>
  <c r="BD155" i="9"/>
  <c r="BE154" i="9"/>
  <c r="BD154" i="9"/>
  <c r="BE153" i="9"/>
  <c r="BD153" i="9"/>
  <c r="BE152" i="9"/>
  <c r="BD152" i="9"/>
  <c r="BE151" i="9"/>
  <c r="BD151" i="9"/>
  <c r="BE150" i="9"/>
  <c r="BD150" i="9"/>
  <c r="BE149" i="9"/>
  <c r="BD149" i="9"/>
  <c r="BE148" i="9"/>
  <c r="BD148" i="9"/>
  <c r="BE146" i="9"/>
  <c r="BD146" i="9"/>
  <c r="BE145" i="9"/>
  <c r="BD145" i="9"/>
  <c r="BE144" i="9"/>
  <c r="BD144" i="9"/>
  <c r="BE143" i="9"/>
  <c r="BD143" i="9"/>
  <c r="BE142" i="9"/>
  <c r="BE141" i="9"/>
  <c r="BD140" i="9"/>
  <c r="BE139" i="9"/>
  <c r="BD138" i="9"/>
  <c r="BD137" i="9"/>
  <c r="BD136" i="9"/>
  <c r="BE135" i="9"/>
  <c r="BD135" i="9"/>
  <c r="BE134" i="9"/>
  <c r="BD134" i="9"/>
  <c r="BE133" i="9"/>
  <c r="BD133" i="9"/>
  <c r="BE132" i="9"/>
  <c r="BD132" i="9"/>
  <c r="BE131" i="9"/>
  <c r="BD131" i="9"/>
  <c r="BE130" i="9"/>
  <c r="BD130" i="9"/>
  <c r="BE129" i="9"/>
  <c r="BD129" i="9"/>
  <c r="BE128" i="9"/>
  <c r="BD128" i="9"/>
  <c r="BE127" i="9"/>
  <c r="BD127" i="9"/>
  <c r="BE126" i="9"/>
  <c r="BD126" i="9"/>
  <c r="BE124" i="9"/>
  <c r="BD124" i="9"/>
  <c r="BE122" i="9"/>
  <c r="BD122" i="9"/>
  <c r="BE121" i="9"/>
  <c r="BD121" i="9"/>
  <c r="BE120" i="9"/>
  <c r="BD120" i="9"/>
  <c r="BE119" i="9"/>
  <c r="BD119" i="9"/>
  <c r="BE118" i="9"/>
  <c r="BD118" i="9"/>
  <c r="BE117" i="9"/>
  <c r="BD117" i="9"/>
  <c r="BE116" i="9"/>
  <c r="BD116" i="9"/>
  <c r="BE115" i="9"/>
  <c r="BD115" i="9"/>
  <c r="BE114" i="9"/>
  <c r="BD114" i="9"/>
  <c r="BE112" i="9"/>
  <c r="BD112" i="9"/>
  <c r="BE111" i="9"/>
  <c r="BD111" i="9"/>
  <c r="BE110" i="9"/>
  <c r="BD110" i="9"/>
  <c r="BE109" i="9"/>
  <c r="BD109" i="9"/>
  <c r="BE108" i="9"/>
  <c r="BD108" i="9"/>
  <c r="BE107" i="9"/>
  <c r="BD107" i="9"/>
  <c r="BE106" i="9"/>
  <c r="BD106" i="9"/>
  <c r="BE105" i="9"/>
  <c r="BE104" i="9"/>
  <c r="BD104" i="9"/>
  <c r="BE101" i="9"/>
  <c r="BD101" i="9"/>
  <c r="BE100" i="9"/>
  <c r="BD100" i="9"/>
  <c r="BE99" i="9"/>
  <c r="BD99" i="9"/>
  <c r="BE98" i="9"/>
  <c r="BD98" i="9"/>
  <c r="BE97" i="9"/>
  <c r="BE96" i="9"/>
  <c r="BD96" i="9"/>
  <c r="BE95" i="9"/>
  <c r="BD95" i="9"/>
  <c r="BE91" i="9"/>
  <c r="BE90" i="9"/>
  <c r="BD90" i="9"/>
  <c r="BE89" i="9"/>
  <c r="BD89" i="9"/>
  <c r="BE87" i="9"/>
  <c r="BD87" i="9"/>
  <c r="BE86" i="9"/>
  <c r="BD86" i="9"/>
  <c r="BE85" i="9"/>
  <c r="BD85" i="9"/>
  <c r="BE82" i="9"/>
  <c r="BE81" i="9"/>
  <c r="BE80" i="9"/>
  <c r="BD80" i="9"/>
  <c r="BE79" i="9"/>
  <c r="BD79" i="9"/>
  <c r="BE78" i="9"/>
  <c r="BD78" i="9"/>
  <c r="BE76" i="9"/>
  <c r="BD76" i="9"/>
  <c r="BE73" i="9"/>
  <c r="BD73" i="9"/>
  <c r="BE72" i="9"/>
  <c r="BD72" i="9"/>
  <c r="BE71" i="9"/>
  <c r="BD71" i="9"/>
  <c r="BE70" i="9"/>
  <c r="BD70" i="9"/>
  <c r="BE69" i="9"/>
  <c r="BD69" i="9"/>
  <c r="BE68" i="9"/>
  <c r="BD68" i="9"/>
  <c r="BE67" i="9"/>
  <c r="BD67" i="9"/>
  <c r="BE66" i="9"/>
  <c r="BD66" i="9"/>
  <c r="BE65" i="9"/>
  <c r="BD65" i="9"/>
  <c r="BE64" i="9"/>
  <c r="BD64" i="9"/>
  <c r="BE63" i="9"/>
  <c r="BD63" i="9"/>
  <c r="BE62" i="9"/>
  <c r="BD62" i="9"/>
  <c r="BE61" i="9"/>
  <c r="BD61" i="9"/>
  <c r="BE60" i="9"/>
  <c r="BE59" i="9"/>
  <c r="BD59" i="9"/>
  <c r="BE58" i="9"/>
  <c r="BD58" i="9"/>
  <c r="BE57" i="9"/>
  <c r="BD57" i="9"/>
  <c r="BE55" i="9"/>
  <c r="BD55" i="9"/>
  <c r="BE54" i="9"/>
  <c r="BD54" i="9"/>
  <c r="BE53" i="9"/>
  <c r="BE52" i="9"/>
  <c r="BD52" i="9"/>
  <c r="BE51" i="9"/>
  <c r="BE50" i="9"/>
  <c r="BD50" i="9"/>
  <c r="BE49" i="9"/>
  <c r="BD49" i="9"/>
  <c r="BE48" i="9"/>
  <c r="BE47" i="9"/>
  <c r="BD47" i="9"/>
  <c r="BE46" i="9"/>
  <c r="BE45" i="9"/>
  <c r="BD44" i="9"/>
  <c r="BE43" i="9"/>
  <c r="BD43" i="9"/>
  <c r="BE42" i="9"/>
  <c r="BD42" i="9"/>
  <c r="BD41" i="9"/>
  <c r="BE40" i="9"/>
  <c r="BD40" i="9"/>
  <c r="BD39" i="9"/>
  <c r="BE38" i="9"/>
  <c r="BD38" i="9"/>
  <c r="BE37" i="9"/>
  <c r="BD37" i="9"/>
  <c r="BE36" i="9"/>
  <c r="BD36" i="9"/>
  <c r="BE35" i="9"/>
  <c r="BD35" i="9"/>
  <c r="BE34" i="9"/>
  <c r="BD34" i="9"/>
  <c r="BE33" i="9"/>
  <c r="BD33" i="9"/>
  <c r="BE32" i="9"/>
  <c r="BD32" i="9"/>
  <c r="BE31" i="9"/>
  <c r="BD31" i="9"/>
  <c r="BE30" i="9"/>
  <c r="BD30" i="9"/>
  <c r="BE28" i="9"/>
  <c r="BD28" i="9"/>
  <c r="BE27" i="9"/>
  <c r="BD27" i="9"/>
  <c r="BE26" i="9"/>
  <c r="BD26" i="9"/>
  <c r="BE25" i="9"/>
  <c r="BD25" i="9"/>
  <c r="BE24" i="9"/>
  <c r="BD24" i="9"/>
  <c r="BE23" i="9"/>
  <c r="BD23" i="9"/>
  <c r="BE22" i="9"/>
  <c r="BD22" i="9"/>
  <c r="BE21" i="9"/>
  <c r="BD21" i="9"/>
  <c r="BE20" i="9"/>
  <c r="BD20" i="9"/>
  <c r="BE19" i="9"/>
  <c r="BD17" i="9"/>
  <c r="BE15" i="9"/>
  <c r="BD15" i="9"/>
  <c r="BE14" i="9"/>
  <c r="BD14" i="9"/>
  <c r="BE13" i="9"/>
  <c r="BD13" i="9"/>
  <c r="BE12" i="9"/>
  <c r="BE10" i="9"/>
  <c r="BD10" i="9"/>
  <c r="BE9" i="9"/>
  <c r="AG262" i="2"/>
  <c r="BB262" i="2" s="1"/>
  <c r="BC262" i="2" s="1"/>
  <c r="BD260" i="2" s="1"/>
  <c r="O21" i="2"/>
  <c r="O342" i="2"/>
  <c r="O208" i="2"/>
  <c r="O135" i="2"/>
  <c r="O139" i="2"/>
  <c r="AD287" i="9"/>
  <c r="AD286" i="9"/>
  <c r="BE286" i="9" s="1"/>
  <c r="AG138" i="9"/>
  <c r="BE138" i="9" s="1"/>
  <c r="AG94" i="9"/>
  <c r="AA93" i="9"/>
  <c r="X93" i="9"/>
  <c r="AA92" i="9"/>
  <c r="X84" i="9"/>
  <c r="BE84" i="9" s="1"/>
  <c r="X83" i="9"/>
  <c r="AA74" i="9"/>
  <c r="X56" i="9"/>
  <c r="AG44" i="9"/>
  <c r="AA44" i="9"/>
  <c r="T125" i="9"/>
  <c r="Z103" i="9"/>
  <c r="AA103" i="9" s="1"/>
  <c r="W103" i="9"/>
  <c r="X103" i="9" s="1"/>
  <c r="T103" i="9"/>
  <c r="U103" i="9" s="1"/>
  <c r="AF102" i="9"/>
  <c r="AG102" i="9" s="1"/>
  <c r="AC102" i="9"/>
  <c r="AD102" i="9" s="1"/>
  <c r="AG16" i="9"/>
  <c r="AJ292" i="9" l="1"/>
  <c r="BE287" i="9"/>
  <c r="BD8" i="9"/>
  <c r="BE93" i="9"/>
  <c r="AJ6" i="9"/>
  <c r="BE6" i="9" s="1"/>
  <c r="AJ224" i="9"/>
  <c r="BE224" i="9" s="1"/>
  <c r="BD354" i="9"/>
  <c r="BE44" i="9"/>
  <c r="AJ75" i="9"/>
  <c r="BE75" i="9" s="1"/>
  <c r="AJ291" i="9"/>
  <c r="AJ74" i="9"/>
  <c r="BE289" i="9"/>
  <c r="AJ357" i="9"/>
  <c r="BE357" i="9" s="1"/>
  <c r="BE278" i="9"/>
  <c r="AJ16" i="9"/>
  <c r="BE16" i="9" s="1"/>
  <c r="BE288" i="9"/>
  <c r="BD125" i="9"/>
  <c r="BD353" i="9"/>
  <c r="AJ7" i="9"/>
  <c r="BE7" i="9" s="1"/>
  <c r="BE102" i="9"/>
  <c r="BD225" i="9"/>
  <c r="BE225" i="9"/>
  <c r="BD358" i="9"/>
  <c r="BD103" i="9"/>
  <c r="BD102" i="9"/>
  <c r="O290" i="2"/>
  <c r="AC351" i="9"/>
  <c r="Z351" i="9"/>
  <c r="AA351" i="9" s="1"/>
  <c r="W351" i="9"/>
  <c r="X351" i="9" s="1"/>
  <c r="T351" i="9"/>
  <c r="AC325" i="9"/>
  <c r="AD325" i="9" s="1"/>
  <c r="AF200" i="9"/>
  <c r="AG200" i="9" s="1"/>
  <c r="AC200" i="9"/>
  <c r="AD200" i="9" s="1"/>
  <c r="Z200" i="9"/>
  <c r="AA200" i="9" s="1"/>
  <c r="W200" i="9"/>
  <c r="AF199" i="9"/>
  <c r="AC199" i="9"/>
  <c r="AD199" i="9" s="1"/>
  <c r="Z199" i="9"/>
  <c r="AA199" i="9" s="1"/>
  <c r="W199" i="9"/>
  <c r="AG198" i="9"/>
  <c r="BE198" i="9" s="1"/>
  <c r="AC198" i="9"/>
  <c r="BD198" i="9" s="1"/>
  <c r="AF197" i="9"/>
  <c r="W197" i="9"/>
  <c r="AD196" i="9"/>
  <c r="X196" i="9"/>
  <c r="U196" i="9"/>
  <c r="AF195" i="9"/>
  <c r="AG195" i="9" s="1"/>
  <c r="AC195" i="9"/>
  <c r="AD195" i="9" s="1"/>
  <c r="Z195" i="9"/>
  <c r="AA195" i="9" s="1"/>
  <c r="W195" i="9"/>
  <c r="W194" i="9"/>
  <c r="AF194" i="9"/>
  <c r="AG194" i="9" s="1"/>
  <c r="U194" i="9"/>
  <c r="AG193" i="9"/>
  <c r="AC193" i="9"/>
  <c r="AF300" i="9"/>
  <c r="AG300" i="9" s="1"/>
  <c r="AC300" i="9"/>
  <c r="AD300" i="9" s="1"/>
  <c r="AF299" i="9"/>
  <c r="AG299" i="9" s="1"/>
  <c r="AC299" i="9"/>
  <c r="AD299" i="9" s="1"/>
  <c r="Z299" i="9"/>
  <c r="AG297" i="9"/>
  <c r="AA297" i="9"/>
  <c r="X298" i="2"/>
  <c r="BB298" i="2" s="1"/>
  <c r="BC298" i="2" s="1"/>
  <c r="BD298" i="2" s="1"/>
  <c r="X294" i="9"/>
  <c r="BE294" i="9" s="1"/>
  <c r="X293" i="9"/>
  <c r="AG292" i="9"/>
  <c r="AA291" i="9"/>
  <c r="AD41" i="9"/>
  <c r="BE41" i="9" s="1"/>
  <c r="AA39" i="9"/>
  <c r="AC18" i="9"/>
  <c r="BD18" i="9" s="1"/>
  <c r="AD17" i="9"/>
  <c r="BE17" i="9" s="1"/>
  <c r="BE347" i="9"/>
  <c r="T347" i="2"/>
  <c r="BA347" i="2" s="1"/>
  <c r="BC347" i="2" s="1"/>
  <c r="BD342" i="2" s="1"/>
  <c r="Z348" i="2"/>
  <c r="BA348" i="2" s="1"/>
  <c r="BC348" i="2" s="1"/>
  <c r="AF9" i="9"/>
  <c r="AA329" i="9"/>
  <c r="X329" i="9"/>
  <c r="AD266" i="9"/>
  <c r="BE266" i="9" s="1"/>
  <c r="AD261" i="9"/>
  <c r="AD39" i="9"/>
  <c r="AF276" i="9"/>
  <c r="BD276" i="9" s="1"/>
  <c r="AF247" i="9"/>
  <c r="BD247" i="9" s="1"/>
  <c r="AF180" i="9"/>
  <c r="BD180" i="9" s="1"/>
  <c r="AF178" i="9"/>
  <c r="BD178" i="9" s="1"/>
  <c r="AF147" i="9"/>
  <c r="AF88" i="9"/>
  <c r="AF48" i="9"/>
  <c r="AF325" i="9"/>
  <c r="AF303" i="9"/>
  <c r="AG303" i="9" s="1"/>
  <c r="AC303" i="9"/>
  <c r="AC251" i="9"/>
  <c r="BD251" i="9" s="1"/>
  <c r="AC248" i="9"/>
  <c r="BD248" i="9" s="1"/>
  <c r="AF196" i="9"/>
  <c r="BD196" i="9" s="1"/>
  <c r="AF192" i="9"/>
  <c r="BD192" i="9" s="1"/>
  <c r="AD140" i="9"/>
  <c r="BE140" i="9" s="1"/>
  <c r="Q97" i="9"/>
  <c r="AC97" i="9"/>
  <c r="BD97" i="9" s="1"/>
  <c r="AC92" i="9"/>
  <c r="AC81" i="9"/>
  <c r="BD81" i="9" s="1"/>
  <c r="AF77" i="9"/>
  <c r="AC77" i="9"/>
  <c r="AC60" i="9"/>
  <c r="AC53" i="9"/>
  <c r="BD53" i="9" s="1"/>
  <c r="AC51" i="9"/>
  <c r="BD51" i="9" s="1"/>
  <c r="AC46" i="9"/>
  <c r="BD46" i="9" s="1"/>
  <c r="AA29" i="9"/>
  <c r="BE29" i="9" s="1"/>
  <c r="Z370" i="9"/>
  <c r="BD370" i="9" s="1"/>
  <c r="Z369" i="9"/>
  <c r="Z356" i="9"/>
  <c r="Z355" i="9"/>
  <c r="Z300" i="9"/>
  <c r="Z284" i="9"/>
  <c r="AF281" i="9"/>
  <c r="AG281" i="9" s="1"/>
  <c r="BE281" i="9" s="1"/>
  <c r="AF280" i="9"/>
  <c r="AC280" i="9"/>
  <c r="AD280" i="9" s="1"/>
  <c r="BE280" i="9" s="1"/>
  <c r="Z280" i="9"/>
  <c r="Z279" i="9"/>
  <c r="Z252" i="9"/>
  <c r="BD252" i="9" s="1"/>
  <c r="Z249" i="9"/>
  <c r="BD249" i="9" s="1"/>
  <c r="AF204" i="9"/>
  <c r="AC204" i="9"/>
  <c r="Z204" i="9"/>
  <c r="AF179" i="9"/>
  <c r="AC179" i="9"/>
  <c r="Z179" i="9"/>
  <c r="AC177" i="9"/>
  <c r="AD177" i="9" s="1"/>
  <c r="BE177" i="9" s="1"/>
  <c r="Z177" i="9"/>
  <c r="Z166" i="9"/>
  <c r="BD166" i="9" s="1"/>
  <c r="AF142" i="9"/>
  <c r="AC142" i="9"/>
  <c r="Z142" i="9"/>
  <c r="AD123" i="9"/>
  <c r="Z123" i="9"/>
  <c r="Z94" i="9"/>
  <c r="BD94" i="9" s="1"/>
  <c r="AF93" i="9"/>
  <c r="AC93" i="9"/>
  <c r="Z93" i="9"/>
  <c r="AF84" i="9"/>
  <c r="Z84" i="9"/>
  <c r="Z83" i="9"/>
  <c r="BD83" i="9" s="1"/>
  <c r="AF82" i="9"/>
  <c r="AC82" i="9"/>
  <c r="Z82" i="9"/>
  <c r="S82" i="9" s="1"/>
  <c r="AF74" i="9"/>
  <c r="AD74" i="9"/>
  <c r="AC74" i="9"/>
  <c r="Z74" i="9"/>
  <c r="AC56" i="9"/>
  <c r="Z56" i="9"/>
  <c r="Z45" i="9"/>
  <c r="AD11" i="9"/>
  <c r="Z11" i="9"/>
  <c r="BD11" i="9" s="1"/>
  <c r="X11" i="9"/>
  <c r="U11" i="9"/>
  <c r="AG358" i="9"/>
  <c r="AF358" i="9"/>
  <c r="AD358" i="9"/>
  <c r="AC358" i="9"/>
  <c r="AA358" i="9"/>
  <c r="Z358" i="9"/>
  <c r="X358" i="9"/>
  <c r="W358" i="9"/>
  <c r="AC312" i="9"/>
  <c r="W312" i="9"/>
  <c r="AF278" i="9"/>
  <c r="S278" i="9" s="1"/>
  <c r="W278" i="9"/>
  <c r="AD207" i="9"/>
  <c r="W207" i="9"/>
  <c r="Q206" i="9"/>
  <c r="AF206" i="9"/>
  <c r="AC206" i="9"/>
  <c r="Z206" i="9"/>
  <c r="S206" i="9" s="1"/>
  <c r="W206" i="9"/>
  <c r="AF205" i="9"/>
  <c r="AC205" i="9"/>
  <c r="Z205" i="9"/>
  <c r="W205" i="9"/>
  <c r="AD103" i="9"/>
  <c r="BE103" i="9" s="1"/>
  <c r="AF103" i="9"/>
  <c r="AC103" i="9"/>
  <c r="S103" i="9" s="1"/>
  <c r="W83" i="9"/>
  <c r="S13" i="9"/>
  <c r="S8" i="9"/>
  <c r="S7" i="9"/>
  <c r="S15" i="9"/>
  <c r="S6" i="9"/>
  <c r="S20" i="9"/>
  <c r="S19" i="9"/>
  <c r="S16" i="9"/>
  <c r="S10" i="9"/>
  <c r="S372" i="9"/>
  <c r="Q372" i="9"/>
  <c r="S371" i="9"/>
  <c r="Q371" i="9"/>
  <c r="Q369" i="9"/>
  <c r="S368" i="9"/>
  <c r="Q368" i="9"/>
  <c r="S367" i="9"/>
  <c r="Q367" i="9"/>
  <c r="AG366" i="9"/>
  <c r="Q366" i="9" s="1"/>
  <c r="S366" i="9"/>
  <c r="S365" i="9"/>
  <c r="Q365" i="9"/>
  <c r="S364" i="9"/>
  <c r="Q364" i="9"/>
  <c r="S363" i="9"/>
  <c r="Q363" i="9"/>
  <c r="S362" i="9"/>
  <c r="Q362" i="9"/>
  <c r="S361" i="9"/>
  <c r="Q361" i="9"/>
  <c r="S360" i="9"/>
  <c r="Q360" i="9"/>
  <c r="S359" i="9"/>
  <c r="Q359" i="9"/>
  <c r="S357" i="9"/>
  <c r="S354" i="9"/>
  <c r="Q354" i="9"/>
  <c r="S353" i="9"/>
  <c r="Q353" i="9"/>
  <c r="S352" i="9"/>
  <c r="Q352" i="9"/>
  <c r="S350" i="9"/>
  <c r="Q350" i="9"/>
  <c r="S349" i="9"/>
  <c r="Q349" i="9"/>
  <c r="S348" i="9"/>
  <c r="Q348" i="9"/>
  <c r="S345" i="9"/>
  <c r="Q345" i="9"/>
  <c r="S344" i="9"/>
  <c r="Q344" i="9"/>
  <c r="S343" i="9"/>
  <c r="Q343" i="9"/>
  <c r="S342" i="9"/>
  <c r="Q342" i="9"/>
  <c r="Q341" i="9"/>
  <c r="S340" i="9"/>
  <c r="Q340" i="9"/>
  <c r="S339" i="9"/>
  <c r="Q339" i="9"/>
  <c r="S338" i="9"/>
  <c r="Q338" i="9"/>
  <c r="S337" i="9"/>
  <c r="Q337" i="9"/>
  <c r="S336" i="9"/>
  <c r="Q336" i="9"/>
  <c r="S335" i="9"/>
  <c r="Q335" i="9"/>
  <c r="S334" i="9"/>
  <c r="Q334" i="9"/>
  <c r="S333" i="9"/>
  <c r="Q333" i="9"/>
  <c r="S332" i="9"/>
  <c r="Q332" i="9"/>
  <c r="S331" i="9"/>
  <c r="Q331" i="9"/>
  <c r="S330" i="9"/>
  <c r="Q330" i="9"/>
  <c r="S329" i="9"/>
  <c r="U329" i="9" s="1"/>
  <c r="S328" i="9"/>
  <c r="Q328" i="9"/>
  <c r="S327" i="9"/>
  <c r="Q327" i="9"/>
  <c r="S326" i="9"/>
  <c r="Q326" i="9"/>
  <c r="S324" i="9"/>
  <c r="Q324" i="9"/>
  <c r="S323" i="9"/>
  <c r="Q323" i="9"/>
  <c r="S322" i="9"/>
  <c r="Q322" i="9"/>
  <c r="S321" i="9"/>
  <c r="Q321" i="9"/>
  <c r="S320" i="9"/>
  <c r="Q320" i="9"/>
  <c r="S319" i="9"/>
  <c r="Q319" i="9"/>
  <c r="S318" i="9"/>
  <c r="Q318" i="9"/>
  <c r="S317" i="9"/>
  <c r="Q317" i="9"/>
  <c r="S316" i="9"/>
  <c r="Q316" i="9"/>
  <c r="Q315" i="9"/>
  <c r="Q314" i="9"/>
  <c r="Q313" i="9"/>
  <c r="Q312" i="9"/>
  <c r="Q311" i="9"/>
  <c r="Q310" i="9"/>
  <c r="Q309" i="9"/>
  <c r="Q308" i="9"/>
  <c r="Q307" i="9"/>
  <c r="Q306" i="9"/>
  <c r="Q305" i="9"/>
  <c r="Q304" i="9"/>
  <c r="Q302" i="9"/>
  <c r="Q301" i="9"/>
  <c r="S298" i="9"/>
  <c r="Q298" i="9"/>
  <c r="S296" i="9"/>
  <c r="Q296" i="9"/>
  <c r="S295" i="9"/>
  <c r="Q295" i="9"/>
  <c r="S294" i="9"/>
  <c r="S293" i="9"/>
  <c r="S292" i="9"/>
  <c r="S291" i="9"/>
  <c r="S290" i="9"/>
  <c r="Q290" i="9"/>
  <c r="S289" i="9"/>
  <c r="Q289" i="9"/>
  <c r="S288" i="9"/>
  <c r="Q288" i="9"/>
  <c r="S287" i="9"/>
  <c r="Q287" i="9"/>
  <c r="S286" i="9"/>
  <c r="Q286" i="9"/>
  <c r="S285" i="9"/>
  <c r="Q285" i="9"/>
  <c r="S283" i="9"/>
  <c r="Q283" i="9"/>
  <c r="S282" i="9"/>
  <c r="Q282" i="9"/>
  <c r="Q279" i="9"/>
  <c r="Q278" i="9"/>
  <c r="S277" i="9"/>
  <c r="Q277" i="9"/>
  <c r="Q276" i="9"/>
  <c r="S275" i="9"/>
  <c r="Q275" i="9"/>
  <c r="S274" i="9"/>
  <c r="Q274" i="9"/>
  <c r="S273" i="9"/>
  <c r="Q273" i="9"/>
  <c r="S272" i="9"/>
  <c r="Q272" i="9"/>
  <c r="S271" i="9"/>
  <c r="Q271" i="9"/>
  <c r="S270" i="9"/>
  <c r="Q270" i="9"/>
  <c r="S269" i="9"/>
  <c r="Q269" i="9"/>
  <c r="S268" i="9"/>
  <c r="Q268" i="9"/>
  <c r="Q267" i="9"/>
  <c r="S266" i="9"/>
  <c r="S265" i="9"/>
  <c r="Q265" i="9"/>
  <c r="S264" i="9"/>
  <c r="Q264" i="9"/>
  <c r="S263" i="9"/>
  <c r="Q263" i="9"/>
  <c r="S262" i="9"/>
  <c r="Q262" i="9"/>
  <c r="S261" i="9"/>
  <c r="AJ261" i="9" s="1"/>
  <c r="S260" i="9"/>
  <c r="Q260" i="9"/>
  <c r="S259" i="9"/>
  <c r="Q259" i="9"/>
  <c r="S258" i="9"/>
  <c r="Q258" i="9"/>
  <c r="S257" i="9"/>
  <c r="Q257" i="9"/>
  <c r="S256" i="9"/>
  <c r="Q256" i="9"/>
  <c r="S255" i="9"/>
  <c r="Q255" i="9"/>
  <c r="S254" i="9"/>
  <c r="Q254" i="9"/>
  <c r="S253" i="9"/>
  <c r="Q253" i="9"/>
  <c r="Q252" i="9"/>
  <c r="S250" i="9"/>
  <c r="Q250" i="9"/>
  <c r="Q249" i="9"/>
  <c r="Q247" i="9"/>
  <c r="S246" i="9"/>
  <c r="Q246" i="9"/>
  <c r="S245" i="9"/>
  <c r="Q245" i="9"/>
  <c r="S244" i="9"/>
  <c r="Q244" i="9"/>
  <c r="S243" i="9"/>
  <c r="Q243" i="9"/>
  <c r="S242" i="9"/>
  <c r="Q242" i="9"/>
  <c r="S241" i="9"/>
  <c r="Q241" i="9"/>
  <c r="S240" i="9"/>
  <c r="Q240" i="9"/>
  <c r="S239" i="9"/>
  <c r="Q239" i="9"/>
  <c r="S238" i="9"/>
  <c r="Q238" i="9"/>
  <c r="S237" i="9"/>
  <c r="Q237" i="9"/>
  <c r="S236" i="9"/>
  <c r="Q236" i="9"/>
  <c r="S235" i="9"/>
  <c r="Q235" i="9"/>
  <c r="S234" i="9"/>
  <c r="Q234" i="9"/>
  <c r="S233" i="9"/>
  <c r="Q233" i="9"/>
  <c r="S232" i="9"/>
  <c r="Q232" i="9"/>
  <c r="S231" i="9"/>
  <c r="Q231" i="9"/>
  <c r="S230" i="9"/>
  <c r="Q230" i="9"/>
  <c r="S229" i="9"/>
  <c r="Q229" i="9"/>
  <c r="S228" i="9"/>
  <c r="Q228" i="9"/>
  <c r="S227" i="9"/>
  <c r="Q227" i="9"/>
  <c r="S226" i="9"/>
  <c r="Q226" i="9"/>
  <c r="S225" i="9"/>
  <c r="Q225" i="9"/>
  <c r="S224" i="9"/>
  <c r="S223" i="9"/>
  <c r="Q223" i="9"/>
  <c r="S222" i="9"/>
  <c r="Q222" i="9"/>
  <c r="S221" i="9"/>
  <c r="Q221" i="9"/>
  <c r="S220" i="9"/>
  <c r="Q220" i="9"/>
  <c r="S219" i="9"/>
  <c r="Q219" i="9"/>
  <c r="S218" i="9"/>
  <c r="Q218" i="9"/>
  <c r="S217" i="9"/>
  <c r="Q217" i="9"/>
  <c r="S216" i="9"/>
  <c r="Q216" i="9"/>
  <c r="S215" i="9"/>
  <c r="Q215" i="9"/>
  <c r="S214" i="9"/>
  <c r="Q214" i="9"/>
  <c r="S213" i="9"/>
  <c r="Q213" i="9"/>
  <c r="S212" i="9"/>
  <c r="Q212" i="9"/>
  <c r="S211" i="9"/>
  <c r="Q211" i="9"/>
  <c r="S210" i="9"/>
  <c r="Q210" i="9"/>
  <c r="S209" i="9"/>
  <c r="Q209" i="9"/>
  <c r="S208" i="9"/>
  <c r="Q208" i="9"/>
  <c r="S207" i="9"/>
  <c r="Q205" i="9"/>
  <c r="S203" i="9"/>
  <c r="Q203" i="9"/>
  <c r="S202" i="9"/>
  <c r="Q202" i="9"/>
  <c r="S201" i="9"/>
  <c r="Q201" i="9"/>
  <c r="Q191" i="9"/>
  <c r="S190" i="9"/>
  <c r="Q190" i="9"/>
  <c r="S189" i="9"/>
  <c r="Q189" i="9"/>
  <c r="S188" i="9"/>
  <c r="Q188" i="9"/>
  <c r="S187" i="9"/>
  <c r="Q187" i="9"/>
  <c r="S186" i="9"/>
  <c r="Q186" i="9"/>
  <c r="S185" i="9"/>
  <c r="Q185" i="9"/>
  <c r="S184" i="9"/>
  <c r="Q184" i="9"/>
  <c r="S183" i="9"/>
  <c r="Q183" i="9"/>
  <c r="S182" i="9"/>
  <c r="Q182" i="9"/>
  <c r="S181" i="9"/>
  <c r="Q181" i="9"/>
  <c r="Q178" i="9"/>
  <c r="S176" i="9"/>
  <c r="Q176" i="9"/>
  <c r="S175" i="9"/>
  <c r="Q175" i="9"/>
  <c r="S174" i="9"/>
  <c r="Q174" i="9"/>
  <c r="S173" i="9"/>
  <c r="Q173" i="9"/>
  <c r="S172" i="9"/>
  <c r="Q172" i="9"/>
  <c r="S171" i="9"/>
  <c r="Q171" i="9"/>
  <c r="S170" i="9"/>
  <c r="Q170" i="9"/>
  <c r="S169" i="9"/>
  <c r="Q169" i="9"/>
  <c r="S168" i="9"/>
  <c r="Q168" i="9"/>
  <c r="S167" i="9"/>
  <c r="Q167" i="9"/>
  <c r="Q166" i="9"/>
  <c r="S165" i="9"/>
  <c r="Q165" i="9"/>
  <c r="S164" i="9"/>
  <c r="Q164" i="9"/>
  <c r="S163" i="9"/>
  <c r="Q163" i="9"/>
  <c r="S162" i="9"/>
  <c r="Q162" i="9"/>
  <c r="S161" i="9"/>
  <c r="Q161" i="9"/>
  <c r="S160" i="9"/>
  <c r="Q160" i="9"/>
  <c r="S159" i="9"/>
  <c r="Q159" i="9"/>
  <c r="S158" i="9"/>
  <c r="Q158" i="9"/>
  <c r="S157" i="9"/>
  <c r="Q157" i="9"/>
  <c r="S156" i="9"/>
  <c r="Q156" i="9"/>
  <c r="S155" i="9"/>
  <c r="Q155" i="9"/>
  <c r="S154" i="9"/>
  <c r="Q154" i="9"/>
  <c r="S153" i="9"/>
  <c r="Q153" i="9"/>
  <c r="S152" i="9"/>
  <c r="Q152" i="9"/>
  <c r="S151" i="9"/>
  <c r="Q151" i="9"/>
  <c r="S150" i="9"/>
  <c r="Q150" i="9"/>
  <c r="S149" i="9"/>
  <c r="Q149" i="9"/>
  <c r="S148" i="9"/>
  <c r="Q148" i="9"/>
  <c r="Q147" i="9"/>
  <c r="S146" i="9"/>
  <c r="Q146" i="9"/>
  <c r="S145" i="9"/>
  <c r="Q145" i="9"/>
  <c r="S144" i="9"/>
  <c r="Q144" i="9"/>
  <c r="S143" i="9"/>
  <c r="Q143" i="9"/>
  <c r="Q142" i="9"/>
  <c r="S141" i="9"/>
  <c r="Q141" i="9"/>
  <c r="S140" i="9"/>
  <c r="Q139" i="9"/>
  <c r="S138" i="9"/>
  <c r="Q138" i="9"/>
  <c r="S137" i="9"/>
  <c r="Q137" i="9"/>
  <c r="S136" i="9"/>
  <c r="Q136" i="9"/>
  <c r="S135" i="9"/>
  <c r="Q135" i="9"/>
  <c r="S134" i="9"/>
  <c r="Q134" i="9"/>
  <c r="S133" i="9"/>
  <c r="Q133" i="9"/>
  <c r="S132" i="9"/>
  <c r="Q132" i="9"/>
  <c r="S131" i="9"/>
  <c r="Q131" i="9"/>
  <c r="S130" i="9"/>
  <c r="Q130" i="9"/>
  <c r="S129" i="9"/>
  <c r="Q129" i="9"/>
  <c r="S128" i="9"/>
  <c r="Q128" i="9"/>
  <c r="S127" i="9"/>
  <c r="Q127" i="9"/>
  <c r="S125" i="9"/>
  <c r="Q125" i="9"/>
  <c r="S124" i="9"/>
  <c r="Q124" i="9"/>
  <c r="S120" i="9"/>
  <c r="Q120" i="9"/>
  <c r="S119" i="9"/>
  <c r="Q119" i="9"/>
  <c r="S118" i="9"/>
  <c r="Q118" i="9"/>
  <c r="S117" i="9"/>
  <c r="Q117" i="9"/>
  <c r="S116" i="9"/>
  <c r="Q116" i="9"/>
  <c r="S115" i="9"/>
  <c r="Q115" i="9"/>
  <c r="S114" i="9"/>
  <c r="Q114" i="9"/>
  <c r="S113" i="9"/>
  <c r="Q113" i="9"/>
  <c r="S112" i="9"/>
  <c r="Q112" i="9"/>
  <c r="S111" i="9"/>
  <c r="Q111" i="9"/>
  <c r="S110" i="9"/>
  <c r="Q110" i="9"/>
  <c r="S109" i="9"/>
  <c r="Q109" i="9"/>
  <c r="S108" i="9"/>
  <c r="Q108" i="9"/>
  <c r="S107" i="9"/>
  <c r="Q107" i="9"/>
  <c r="S106" i="9"/>
  <c r="Q106" i="9"/>
  <c r="S105" i="9"/>
  <c r="Q105" i="9"/>
  <c r="S104" i="9"/>
  <c r="Q104" i="9"/>
  <c r="S101" i="9"/>
  <c r="Q101" i="9"/>
  <c r="S100" i="9"/>
  <c r="Q100" i="9"/>
  <c r="S99" i="9"/>
  <c r="Q99" i="9"/>
  <c r="S98" i="9"/>
  <c r="Q98" i="9"/>
  <c r="S96" i="9"/>
  <c r="Q96" i="9"/>
  <c r="S95" i="9"/>
  <c r="Q95" i="9"/>
  <c r="Q93" i="9"/>
  <c r="S91" i="9"/>
  <c r="Q91" i="9"/>
  <c r="S90" i="9"/>
  <c r="Q90" i="9"/>
  <c r="S89" i="9"/>
  <c r="Q89" i="9"/>
  <c r="Q88" i="9"/>
  <c r="S87" i="9"/>
  <c r="Q87" i="9"/>
  <c r="S86" i="9"/>
  <c r="Q86" i="9"/>
  <c r="S85" i="9"/>
  <c r="Q85" i="9"/>
  <c r="Q84" i="9"/>
  <c r="Q82" i="9"/>
  <c r="Q81" i="9"/>
  <c r="S80" i="9"/>
  <c r="Q80" i="9"/>
  <c r="S79" i="9"/>
  <c r="Q79" i="9"/>
  <c r="S78" i="9"/>
  <c r="Q78" i="9"/>
  <c r="Q77" i="9"/>
  <c r="S76" i="9"/>
  <c r="Q76" i="9"/>
  <c r="S75" i="9"/>
  <c r="S73" i="9"/>
  <c r="Q73" i="9"/>
  <c r="S72" i="9"/>
  <c r="Q72" i="9"/>
  <c r="S71" i="9"/>
  <c r="Q71" i="9"/>
  <c r="S70" i="9"/>
  <c r="Q70" i="9"/>
  <c r="S69" i="9"/>
  <c r="Q69" i="9"/>
  <c r="S68" i="9"/>
  <c r="Q68" i="9"/>
  <c r="S67" i="9"/>
  <c r="Q67" i="9"/>
  <c r="S66" i="9"/>
  <c r="Q66" i="9"/>
  <c r="S65" i="9"/>
  <c r="Q65" i="9"/>
  <c r="S64" i="9"/>
  <c r="Q64" i="9"/>
  <c r="S63" i="9"/>
  <c r="Q63" i="9"/>
  <c r="S62" i="9"/>
  <c r="Q62" i="9"/>
  <c r="S61" i="9"/>
  <c r="Q61" i="9"/>
  <c r="Q60" i="9"/>
  <c r="S59" i="9"/>
  <c r="Q59" i="9"/>
  <c r="S58" i="9"/>
  <c r="Q58" i="9"/>
  <c r="S57" i="9"/>
  <c r="Q57" i="9"/>
  <c r="S55" i="9"/>
  <c r="Q55" i="9"/>
  <c r="S54" i="9"/>
  <c r="Q54" i="9"/>
  <c r="Q53" i="9"/>
  <c r="S52" i="9"/>
  <c r="Q52" i="9"/>
  <c r="Q51" i="9"/>
  <c r="S50" i="9"/>
  <c r="Q50" i="9"/>
  <c r="S49" i="9"/>
  <c r="Q49" i="9"/>
  <c r="Q48" i="9"/>
  <c r="S47" i="9"/>
  <c r="Q47" i="9"/>
  <c r="Q46" i="9"/>
  <c r="Q45" i="9"/>
  <c r="S44" i="9"/>
  <c r="Q44" i="9"/>
  <c r="S43" i="9"/>
  <c r="Q43" i="9"/>
  <c r="S42" i="9"/>
  <c r="Q42" i="9"/>
  <c r="S41" i="9"/>
  <c r="Q41" i="9"/>
  <c r="S40" i="9"/>
  <c r="Q40" i="9"/>
  <c r="S39" i="9"/>
  <c r="S38" i="9"/>
  <c r="Q38" i="9"/>
  <c r="S37" i="9"/>
  <c r="Q37" i="9"/>
  <c r="S36" i="9"/>
  <c r="Q36" i="9"/>
  <c r="S35" i="9"/>
  <c r="Q35" i="9"/>
  <c r="S34" i="9"/>
  <c r="Q34" i="9"/>
  <c r="S33" i="9"/>
  <c r="Q33" i="9"/>
  <c r="S32" i="9"/>
  <c r="Q32" i="9"/>
  <c r="S31" i="9"/>
  <c r="Q31" i="9"/>
  <c r="S30" i="9"/>
  <c r="Q30" i="9"/>
  <c r="S28" i="9"/>
  <c r="Q28" i="9"/>
  <c r="S27" i="9"/>
  <c r="Q27" i="9"/>
  <c r="S26" i="9"/>
  <c r="Q26" i="9"/>
  <c r="S25" i="9"/>
  <c r="Q25" i="9"/>
  <c r="S24" i="9"/>
  <c r="Q24" i="9"/>
  <c r="S23" i="9"/>
  <c r="Q23" i="9"/>
  <c r="S22" i="9"/>
  <c r="Q22" i="9"/>
  <c r="S21" i="9"/>
  <c r="Q21" i="9"/>
  <c r="Q15" i="9"/>
  <c r="S14" i="9"/>
  <c r="Q14" i="9"/>
  <c r="Q12" i="9"/>
  <c r="O341" i="2"/>
  <c r="AD367" i="2"/>
  <c r="BB367" i="2" s="1"/>
  <c r="BC367" i="2" s="1"/>
  <c r="BD361" i="2" s="1"/>
  <c r="O331" i="2"/>
  <c r="O14" i="2"/>
  <c r="BD177" i="9" l="1"/>
  <c r="BF177" i="9" s="1"/>
  <c r="BD84" i="9"/>
  <c r="BF84" i="9" s="1"/>
  <c r="BE291" i="9"/>
  <c r="BF291" i="9" s="1"/>
  <c r="Q224" i="9"/>
  <c r="Q75" i="9"/>
  <c r="BE39" i="9"/>
  <c r="BF39" i="9" s="1"/>
  <c r="BD142" i="9"/>
  <c r="BF142" i="9" s="1"/>
  <c r="Q357" i="9"/>
  <c r="BD77" i="9"/>
  <c r="BF77" i="9" s="1"/>
  <c r="BD299" i="9"/>
  <c r="BE74" i="9"/>
  <c r="BF74" i="9" s="1"/>
  <c r="BD93" i="9"/>
  <c r="BF93" i="9" s="1"/>
  <c r="BD281" i="9"/>
  <c r="BF281" i="9" s="1"/>
  <c r="BD284" i="9"/>
  <c r="AA284" i="9"/>
  <c r="BD300" i="9"/>
  <c r="BE261" i="9"/>
  <c r="Q281" i="9"/>
  <c r="Q16" i="9"/>
  <c r="BE329" i="9"/>
  <c r="BE297" i="9"/>
  <c r="BE196" i="9"/>
  <c r="S9" i="9"/>
  <c r="BD9" i="9"/>
  <c r="BF9" i="9" s="1"/>
  <c r="AD92" i="9"/>
  <c r="BE92" i="9" s="1"/>
  <c r="BD92" i="9"/>
  <c r="BD303" i="9"/>
  <c r="BD194" i="9"/>
  <c r="BD197" i="9"/>
  <c r="X200" i="9"/>
  <c r="BE200" i="9" s="1"/>
  <c r="BD200" i="9"/>
  <c r="BD325" i="9"/>
  <c r="C19" i="10" s="1"/>
  <c r="Q292" i="9"/>
  <c r="BE292" i="9"/>
  <c r="BF292" i="9" s="1"/>
  <c r="S45" i="9"/>
  <c r="BD45" i="9"/>
  <c r="BF45" i="9" s="1"/>
  <c r="BF341" i="9"/>
  <c r="Q293" i="9"/>
  <c r="BE293" i="9"/>
  <c r="BF293" i="9" s="1"/>
  <c r="X195" i="9"/>
  <c r="BE195" i="9" s="1"/>
  <c r="BD195" i="9"/>
  <c r="U351" i="9"/>
  <c r="BD351" i="9"/>
  <c r="AA56" i="9"/>
  <c r="BD56" i="9"/>
  <c r="S123" i="9"/>
  <c r="BD123" i="9"/>
  <c r="BD179" i="9"/>
  <c r="S279" i="9"/>
  <c r="BD279" i="9"/>
  <c r="BF279" i="9" s="1"/>
  <c r="S48" i="9"/>
  <c r="BD48" i="9"/>
  <c r="Q123" i="9"/>
  <c r="BE123" i="9"/>
  <c r="BD280" i="9"/>
  <c r="BF280" i="9" s="1"/>
  <c r="AA355" i="9"/>
  <c r="BE355" i="9" s="1"/>
  <c r="BD355" i="9"/>
  <c r="S60" i="9"/>
  <c r="BD60" i="9"/>
  <c r="BF60" i="9" s="1"/>
  <c r="S88" i="9"/>
  <c r="BD88" i="9"/>
  <c r="BF88" i="9" s="1"/>
  <c r="AD193" i="9"/>
  <c r="BE193" i="9" s="1"/>
  <c r="BD193" i="9"/>
  <c r="BD199" i="9"/>
  <c r="AA356" i="9"/>
  <c r="BE356" i="9" s="1"/>
  <c r="BD356" i="9"/>
  <c r="S147" i="9"/>
  <c r="BD147" i="9"/>
  <c r="BF147" i="9" s="1"/>
  <c r="BD204" i="9"/>
  <c r="C11" i="10" s="1"/>
  <c r="S369" i="9"/>
  <c r="BD369" i="9"/>
  <c r="C25" i="10" s="1"/>
  <c r="Q39" i="9"/>
  <c r="AA83" i="9"/>
  <c r="BE83" i="9" s="1"/>
  <c r="S180" i="9"/>
  <c r="AG180" i="9"/>
  <c r="BE180" i="9" s="1"/>
  <c r="AD56" i="9"/>
  <c r="AA94" i="9"/>
  <c r="BE94" i="9" s="1"/>
  <c r="S341" i="9"/>
  <c r="Q294" i="9"/>
  <c r="C10" i="10"/>
  <c r="Q261" i="9"/>
  <c r="BF101" i="9"/>
  <c r="D22" i="10"/>
  <c r="S94" i="9"/>
  <c r="C24" i="10"/>
  <c r="Q291" i="9"/>
  <c r="AG192" i="9"/>
  <c r="S199" i="9"/>
  <c r="D21" i="10"/>
  <c r="S92" i="9"/>
  <c r="S97" i="9"/>
  <c r="X199" i="9"/>
  <c r="BE199" i="9" s="1"/>
  <c r="C26" i="10"/>
  <c r="C12" i="10"/>
  <c r="AG197" i="9"/>
  <c r="Q266" i="9"/>
  <c r="AA299" i="9"/>
  <c r="C18" i="10"/>
  <c r="S194" i="9"/>
  <c r="C14" i="10"/>
  <c r="C13" i="10"/>
  <c r="Q329" i="9"/>
  <c r="Q29" i="9"/>
  <c r="S139" i="9"/>
  <c r="S178" i="9"/>
  <c r="Q198" i="9"/>
  <c r="S247" i="9"/>
  <c r="D18" i="10"/>
  <c r="AA300" i="9"/>
  <c r="BE300" i="9" s="1"/>
  <c r="C16" i="10"/>
  <c r="S351" i="9"/>
  <c r="D24" i="10"/>
  <c r="D13" i="10"/>
  <c r="D10" i="10"/>
  <c r="AD351" i="9"/>
  <c r="BF364" i="9"/>
  <c r="BF97" i="9"/>
  <c r="C22" i="10"/>
  <c r="D12" i="10"/>
  <c r="S197" i="9"/>
  <c r="X194" i="9"/>
  <c r="Q194" i="9" s="1"/>
  <c r="C20" i="10"/>
  <c r="D20" i="10"/>
  <c r="Q297" i="9"/>
  <c r="AD18" i="9"/>
  <c r="BE18" i="9" s="1"/>
  <c r="S18" i="9"/>
  <c r="S347" i="9"/>
  <c r="Q347" i="9"/>
  <c r="S276" i="9"/>
  <c r="S56" i="9"/>
  <c r="S249" i="9"/>
  <c r="AD248" i="9"/>
  <c r="BF301" i="9"/>
  <c r="S325" i="9"/>
  <c r="S355" i="9"/>
  <c r="BF335" i="9"/>
  <c r="BF337" i="9"/>
  <c r="BF339" i="9"/>
  <c r="S252" i="9"/>
  <c r="BF313" i="9"/>
  <c r="S280" i="9"/>
  <c r="AD251" i="9"/>
  <c r="BE251" i="9" s="1"/>
  <c r="S356" i="9"/>
  <c r="S370" i="9"/>
  <c r="AC29" i="9"/>
  <c r="S300" i="9"/>
  <c r="S204" i="9"/>
  <c r="S281" i="9"/>
  <c r="AD303" i="9"/>
  <c r="BE303" i="9" s="1"/>
  <c r="BF306" i="9"/>
  <c r="BF53" i="9"/>
  <c r="BF309" i="9"/>
  <c r="BF317" i="9"/>
  <c r="BF323" i="9"/>
  <c r="BF55" i="9"/>
  <c r="S251" i="9"/>
  <c r="S248" i="9"/>
  <c r="S196" i="9"/>
  <c r="S192" i="9"/>
  <c r="S191" i="9"/>
  <c r="Q140" i="9"/>
  <c r="S102" i="9"/>
  <c r="S81" i="9"/>
  <c r="S77" i="9"/>
  <c r="S53" i="9"/>
  <c r="S51" i="9"/>
  <c r="S46" i="9"/>
  <c r="BF57" i="9"/>
  <c r="BF59" i="9"/>
  <c r="BF61" i="9"/>
  <c r="BF63" i="9"/>
  <c r="BF65" i="9"/>
  <c r="BF67" i="9"/>
  <c r="BF69" i="9"/>
  <c r="S179" i="9"/>
  <c r="AD204" i="9"/>
  <c r="AA370" i="9"/>
  <c r="Q280" i="9"/>
  <c r="S93" i="9"/>
  <c r="BF85" i="9"/>
  <c r="BF87" i="9"/>
  <c r="BF89" i="9"/>
  <c r="BF91" i="9"/>
  <c r="BF272" i="9"/>
  <c r="BF274" i="9"/>
  <c r="BF349" i="9"/>
  <c r="BF372" i="9"/>
  <c r="S166" i="9"/>
  <c r="S346" i="9"/>
  <c r="S84" i="9"/>
  <c r="BF198" i="9"/>
  <c r="BF75" i="9"/>
  <c r="BF79" i="9"/>
  <c r="BF81" i="9"/>
  <c r="BF167" i="9"/>
  <c r="BF201" i="9"/>
  <c r="BF237" i="9"/>
  <c r="AA11" i="9"/>
  <c r="AD179" i="9"/>
  <c r="BE179" i="9" s="1"/>
  <c r="Q346" i="9"/>
  <c r="S299" i="9"/>
  <c r="S284" i="9"/>
  <c r="S198" i="9"/>
  <c r="S193" i="9"/>
  <c r="S177" i="9"/>
  <c r="Q177" i="9"/>
  <c r="S142" i="9"/>
  <c r="S83" i="9"/>
  <c r="Q74" i="9"/>
  <c r="S74" i="9"/>
  <c r="BF187" i="9"/>
  <c r="BF294" i="9"/>
  <c r="BF296" i="9"/>
  <c r="BF298" i="9"/>
  <c r="BF308" i="9"/>
  <c r="BF322" i="9"/>
  <c r="BF367" i="9"/>
  <c r="BF371" i="9"/>
  <c r="BF121" i="9"/>
  <c r="BF134" i="9"/>
  <c r="BF178" i="9"/>
  <c r="BF186" i="9"/>
  <c r="BF188" i="9"/>
  <c r="BF135" i="9"/>
  <c r="BF137" i="9"/>
  <c r="BF139" i="9"/>
  <c r="BF141" i="9"/>
  <c r="BF143" i="9"/>
  <c r="BF145" i="9"/>
  <c r="BF151" i="9"/>
  <c r="BF153" i="9"/>
  <c r="BF159" i="9"/>
  <c r="BF163" i="9"/>
  <c r="BF202" i="9"/>
  <c r="BF305" i="9"/>
  <c r="BF154" i="9"/>
  <c r="BF156" i="9"/>
  <c r="BF208" i="9"/>
  <c r="BF210" i="9"/>
  <c r="BF212" i="9"/>
  <c r="BF214" i="9"/>
  <c r="BF216" i="9"/>
  <c r="BF222" i="9"/>
  <c r="BF224" i="9"/>
  <c r="BF226" i="9"/>
  <c r="BF228" i="9"/>
  <c r="BF230" i="9"/>
  <c r="BF238" i="9"/>
  <c r="BF240" i="9"/>
  <c r="BF246" i="9"/>
  <c r="BF22" i="9"/>
  <c r="BF24" i="9"/>
  <c r="BF26" i="9"/>
  <c r="BF32" i="9"/>
  <c r="BF34" i="9"/>
  <c r="BF42" i="9"/>
  <c r="BF46" i="9"/>
  <c r="BF70" i="9"/>
  <c r="BF72" i="9"/>
  <c r="BF78" i="9"/>
  <c r="BF80" i="9"/>
  <c r="BF122" i="9"/>
  <c r="BF124" i="9"/>
  <c r="BF203" i="9"/>
  <c r="BF289" i="9"/>
  <c r="BF302" i="9"/>
  <c r="Q358" i="9"/>
  <c r="BF358" i="9"/>
  <c r="S358" i="9"/>
  <c r="Q207" i="9"/>
  <c r="S205" i="9"/>
  <c r="S200" i="9"/>
  <c r="S195" i="9"/>
  <c r="BF149" i="9"/>
  <c r="Q103" i="9"/>
  <c r="BF23" i="9"/>
  <c r="BF41" i="9"/>
  <c r="BF51" i="9"/>
  <c r="BF107" i="9"/>
  <c r="BF117" i="9"/>
  <c r="BF241" i="9"/>
  <c r="BF243" i="9"/>
  <c r="BF249" i="9"/>
  <c r="BF328" i="9"/>
  <c r="BF338" i="9"/>
  <c r="BF340" i="9"/>
  <c r="BF144" i="9"/>
  <c r="BF152" i="9"/>
  <c r="BF160" i="9"/>
  <c r="BF312" i="9"/>
  <c r="BF109" i="9"/>
  <c r="BF307" i="9"/>
  <c r="BF127" i="9"/>
  <c r="BF254" i="9"/>
  <c r="BF256" i="9"/>
  <c r="BF258" i="9"/>
  <c r="BF260" i="9"/>
  <c r="BF262" i="9"/>
  <c r="BF103" i="9"/>
  <c r="BF115" i="9"/>
  <c r="BF315" i="9"/>
  <c r="BF52" i="9"/>
  <c r="BF58" i="9"/>
  <c r="BF68" i="9"/>
  <c r="BF90" i="9"/>
  <c r="BF100" i="9"/>
  <c r="BF104" i="9"/>
  <c r="BF110" i="9"/>
  <c r="BF112" i="9"/>
  <c r="BF118" i="9"/>
  <c r="BF120" i="9"/>
  <c r="BF221" i="9"/>
  <c r="BF316" i="9"/>
  <c r="BF320" i="9"/>
  <c r="BF31" i="9"/>
  <c r="BF47" i="9"/>
  <c r="BF49" i="9"/>
  <c r="BF76" i="9"/>
  <c r="BF96" i="9"/>
  <c r="BF162" i="9"/>
  <c r="BF164" i="9"/>
  <c r="BF223" i="9"/>
  <c r="BF229" i="9"/>
  <c r="BF266" i="9"/>
  <c r="BF286" i="9"/>
  <c r="BF319" i="9"/>
  <c r="BF366" i="9"/>
  <c r="BF368" i="9"/>
  <c r="BF174" i="9"/>
  <c r="BF290" i="9"/>
  <c r="BF133" i="9"/>
  <c r="BF206" i="9"/>
  <c r="BF220" i="9"/>
  <c r="BF247" i="9"/>
  <c r="BF343" i="9"/>
  <c r="BF345" i="9"/>
  <c r="BF361" i="9"/>
  <c r="BF363" i="9"/>
  <c r="BF168" i="9"/>
  <c r="BF176" i="9"/>
  <c r="BF95" i="9"/>
  <c r="BF99" i="9"/>
  <c r="BF165" i="9"/>
  <c r="BF232" i="9"/>
  <c r="BF234" i="9"/>
  <c r="BF236" i="9"/>
  <c r="BF255" i="9"/>
  <c r="BF265" i="9"/>
  <c r="BF273" i="9"/>
  <c r="BF275" i="9"/>
  <c r="BF277" i="9"/>
  <c r="BF283" i="9"/>
  <c r="BF285" i="9"/>
  <c r="BF287" i="9"/>
  <c r="BF318" i="9"/>
  <c r="BF184" i="9"/>
  <c r="BF40" i="9"/>
  <c r="BF62" i="9"/>
  <c r="BF64" i="9"/>
  <c r="BF126" i="9"/>
  <c r="BF128" i="9"/>
  <c r="BF130" i="9"/>
  <c r="BF132" i="9"/>
  <c r="BF161" i="9"/>
  <c r="BF169" i="9"/>
  <c r="BF171" i="9"/>
  <c r="BF173" i="9"/>
  <c r="BF175" i="9"/>
  <c r="BF181" i="9"/>
  <c r="BF183" i="9"/>
  <c r="BF146" i="9"/>
  <c r="BF148" i="9"/>
  <c r="BF205" i="9"/>
  <c r="BF207" i="9"/>
  <c r="BF209" i="9"/>
  <c r="BF211" i="9"/>
  <c r="BF215" i="9"/>
  <c r="BF219" i="9"/>
  <c r="BF342" i="9"/>
  <c r="BF344" i="9"/>
  <c r="BF346" i="9"/>
  <c r="BF348" i="9"/>
  <c r="BF350" i="9"/>
  <c r="BF352" i="9"/>
  <c r="BF362" i="9"/>
  <c r="BF21" i="9"/>
  <c r="BF36" i="9"/>
  <c r="BF38" i="9"/>
  <c r="BF66" i="9"/>
  <c r="BF98" i="9"/>
  <c r="BF111" i="9"/>
  <c r="BF113" i="9"/>
  <c r="BF129" i="9"/>
  <c r="BF131" i="9"/>
  <c r="BF150" i="9"/>
  <c r="BF182" i="9"/>
  <c r="BF218" i="9"/>
  <c r="BF231" i="9"/>
  <c r="BF233" i="9"/>
  <c r="BF235" i="9"/>
  <c r="BF250" i="9"/>
  <c r="BF252" i="9"/>
  <c r="BF269" i="9"/>
  <c r="BF271" i="9"/>
  <c r="BF288" i="9"/>
  <c r="BF310" i="9"/>
  <c r="BF334" i="9"/>
  <c r="BF336" i="9"/>
  <c r="BF359" i="9"/>
  <c r="BF25" i="9"/>
  <c r="BF27" i="9"/>
  <c r="BF44" i="9"/>
  <c r="BF106" i="9"/>
  <c r="BF108" i="9"/>
  <c r="BF119" i="9"/>
  <c r="BF158" i="9"/>
  <c r="BF190" i="9"/>
  <c r="BF239" i="9"/>
  <c r="BF321" i="9"/>
  <c r="BF365" i="9"/>
  <c r="BF217" i="9"/>
  <c r="BF245" i="9"/>
  <c r="BF264" i="9"/>
  <c r="BF311" i="9"/>
  <c r="BF327" i="9"/>
  <c r="BF331" i="9"/>
  <c r="BG329" i="9" s="1"/>
  <c r="BF333" i="9"/>
  <c r="BF33" i="9"/>
  <c r="BF35" i="9"/>
  <c r="BF37" i="9"/>
  <c r="BF50" i="9"/>
  <c r="BF82" i="9"/>
  <c r="BF114" i="9"/>
  <c r="BF116" i="9"/>
  <c r="BF166" i="9"/>
  <c r="BF213" i="9"/>
  <c r="BF268" i="9"/>
  <c r="BF270" i="9"/>
  <c r="BF314" i="9"/>
  <c r="BF54" i="9"/>
  <c r="BF71" i="9"/>
  <c r="BF73" i="9"/>
  <c r="BF86" i="9"/>
  <c r="BF136" i="9"/>
  <c r="BF138" i="9"/>
  <c r="BF140" i="9"/>
  <c r="BF155" i="9"/>
  <c r="BF157" i="9"/>
  <c r="BF170" i="9"/>
  <c r="BF172" i="9"/>
  <c r="BF185" i="9"/>
  <c r="BF253" i="9"/>
  <c r="BF295" i="9"/>
  <c r="BF304" i="9"/>
  <c r="BF360" i="9"/>
  <c r="BF28" i="9"/>
  <c r="BF30" i="9"/>
  <c r="BF43" i="9"/>
  <c r="BF105" i="9"/>
  <c r="BF189" i="9"/>
  <c r="BF191" i="9"/>
  <c r="BF225" i="9"/>
  <c r="BF227" i="9"/>
  <c r="BF242" i="9"/>
  <c r="BF244" i="9"/>
  <c r="BF257" i="9"/>
  <c r="BF259" i="9"/>
  <c r="BF263" i="9"/>
  <c r="BF276" i="9"/>
  <c r="BF278" i="9"/>
  <c r="BF324" i="9"/>
  <c r="BF326" i="9"/>
  <c r="BF357" i="9"/>
  <c r="BF354" i="9"/>
  <c r="BF282" i="9"/>
  <c r="BF353" i="9"/>
  <c r="BF125" i="9"/>
  <c r="S12" i="9"/>
  <c r="S11" i="9"/>
  <c r="S17" i="9"/>
  <c r="Q17" i="9" s="1"/>
  <c r="Q20" i="9"/>
  <c r="BF20" i="9"/>
  <c r="BF17" i="9"/>
  <c r="BF6" i="9"/>
  <c r="Q6" i="9"/>
  <c r="Q8" i="9"/>
  <c r="BF8" i="9"/>
  <c r="Q13" i="9"/>
  <c r="BF13" i="9"/>
  <c r="Q9" i="9"/>
  <c r="Q7" i="9"/>
  <c r="BF7" i="9"/>
  <c r="BF10" i="9"/>
  <c r="Q10" i="9"/>
  <c r="Q19" i="9"/>
  <c r="BF19" i="9"/>
  <c r="BF15" i="9"/>
  <c r="BF12" i="9"/>
  <c r="BF14" i="9"/>
  <c r="BF16" i="9"/>
  <c r="O28" i="2"/>
  <c r="O259" i="2"/>
  <c r="O182" i="2"/>
  <c r="O183" i="2"/>
  <c r="O184" i="2"/>
  <c r="O137" i="2"/>
  <c r="O138" i="2"/>
  <c r="O41" i="2"/>
  <c r="O42" i="2"/>
  <c r="O43" i="2"/>
  <c r="O44" i="2"/>
  <c r="Q193" i="9" l="1"/>
  <c r="Q200" i="9"/>
  <c r="BF355" i="9"/>
  <c r="BE284" i="9"/>
  <c r="BF284" i="9" s="1"/>
  <c r="Q284" i="9"/>
  <c r="Q355" i="9"/>
  <c r="BF261" i="9"/>
  <c r="BE56" i="9"/>
  <c r="BF56" i="9" s="1"/>
  <c r="Q92" i="9"/>
  <c r="BE194" i="9"/>
  <c r="BF194" i="9" s="1"/>
  <c r="Q299" i="9"/>
  <c r="BE299" i="9"/>
  <c r="D17" i="10" s="1"/>
  <c r="BE204" i="9"/>
  <c r="D11" i="10" s="1"/>
  <c r="BE351" i="9"/>
  <c r="BF351" i="9" s="1"/>
  <c r="BE248" i="9"/>
  <c r="BF248" i="9" s="1"/>
  <c r="Q197" i="9"/>
  <c r="BE197" i="9"/>
  <c r="BF197" i="9" s="1"/>
  <c r="BE325" i="9"/>
  <c r="BF325" i="9" s="1"/>
  <c r="BG318" i="9" s="1"/>
  <c r="Q356" i="9"/>
  <c r="BE370" i="9"/>
  <c r="D25" i="10" s="1"/>
  <c r="BD29" i="9"/>
  <c r="BF29" i="9" s="1"/>
  <c r="Q192" i="9"/>
  <c r="BE192" i="9"/>
  <c r="BF192" i="9" s="1"/>
  <c r="BE11" i="9"/>
  <c r="D4" i="10" s="1"/>
  <c r="BF200" i="9"/>
  <c r="Q56" i="9"/>
  <c r="BF94" i="9"/>
  <c r="Q94" i="9"/>
  <c r="D8" i="10"/>
  <c r="Q180" i="9"/>
  <c r="BF83" i="9"/>
  <c r="Q83" i="9"/>
  <c r="C7" i="10"/>
  <c r="BF102" i="9"/>
  <c r="Q102" i="9"/>
  <c r="C21" i="10"/>
  <c r="D16" i="10"/>
  <c r="BF347" i="9"/>
  <c r="BG341" i="9" s="1"/>
  <c r="Q248" i="9"/>
  <c r="BF195" i="9"/>
  <c r="Q199" i="9"/>
  <c r="BF199" i="9"/>
  <c r="C9" i="10"/>
  <c r="BF369" i="9"/>
  <c r="BF92" i="9"/>
  <c r="C6" i="10"/>
  <c r="BF300" i="9"/>
  <c r="BF48" i="9"/>
  <c r="C8" i="10"/>
  <c r="C23" i="10"/>
  <c r="BF193" i="9"/>
  <c r="Q325" i="9"/>
  <c r="C5" i="10"/>
  <c r="D5" i="10"/>
  <c r="Q351" i="9"/>
  <c r="C4" i="10"/>
  <c r="Q300" i="9"/>
  <c r="BG357" i="9"/>
  <c r="BG290" i="9"/>
  <c r="BG202" i="9"/>
  <c r="BG349" i="9"/>
  <c r="BG333" i="9"/>
  <c r="Q18" i="9"/>
  <c r="BF251" i="9"/>
  <c r="Q204" i="9"/>
  <c r="S29" i="9"/>
  <c r="BG316" i="9"/>
  <c r="BF356" i="9"/>
  <c r="Q251" i="9"/>
  <c r="Q370" i="9"/>
  <c r="BF303" i="9"/>
  <c r="Q303" i="9"/>
  <c r="Q196" i="9"/>
  <c r="BG211" i="9"/>
  <c r="BF123" i="9"/>
  <c r="Q179" i="9"/>
  <c r="BF179" i="9"/>
  <c r="BG213" i="9"/>
  <c r="Q11" i="9"/>
  <c r="O40" i="2"/>
  <c r="O361" i="2"/>
  <c r="O362" i="2"/>
  <c r="O363" i="2"/>
  <c r="O364" i="2"/>
  <c r="O365" i="2"/>
  <c r="O366" i="2"/>
  <c r="O367" i="2"/>
  <c r="O368" i="2"/>
  <c r="O369" i="2"/>
  <c r="O370" i="2"/>
  <c r="O371" i="2"/>
  <c r="O372" i="2"/>
  <c r="O373" i="2"/>
  <c r="O358" i="2"/>
  <c r="O359" i="2"/>
  <c r="O360" i="2"/>
  <c r="O310" i="2"/>
  <c r="O311" i="2"/>
  <c r="O312" i="2"/>
  <c r="O313" i="2"/>
  <c r="O314" i="2"/>
  <c r="O315" i="2"/>
  <c r="O316" i="2"/>
  <c r="O302" i="2"/>
  <c r="O303" i="2"/>
  <c r="O304" i="2"/>
  <c r="O305" i="2"/>
  <c r="O306" i="2"/>
  <c r="O307" i="2"/>
  <c r="O308" i="2"/>
  <c r="O309" i="2"/>
  <c r="BF370" i="9" l="1"/>
  <c r="BG360" i="9" s="1"/>
  <c r="D19" i="10"/>
  <c r="BF204" i="9"/>
  <c r="BG204" i="9" s="1"/>
  <c r="D14" i="10"/>
  <c r="D15" i="10"/>
  <c r="D23" i="10"/>
  <c r="BG222" i="9"/>
  <c r="BF299" i="9"/>
  <c r="BF180" i="9"/>
  <c r="BG138" i="9" s="1"/>
  <c r="D6" i="10"/>
  <c r="BG102" i="9"/>
  <c r="D7" i="10"/>
  <c r="BG351" i="9"/>
  <c r="BG44" i="9"/>
  <c r="D9" i="10"/>
  <c r="BF18" i="9"/>
  <c r="BG16" i="9" s="1"/>
  <c r="BF196" i="9"/>
  <c r="BG184" i="9" s="1"/>
  <c r="BF11" i="9"/>
  <c r="BG6" i="9" s="1"/>
  <c r="O211" i="2"/>
  <c r="O260" i="2"/>
  <c r="O121" i="2" l="1"/>
  <c r="O114" i="2" l="1"/>
  <c r="O8" i="2" l="1"/>
  <c r="O9" i="2"/>
  <c r="O10" i="2"/>
  <c r="O11" i="2"/>
  <c r="O12" i="2"/>
  <c r="O13" i="2"/>
  <c r="O15" i="2"/>
  <c r="O16" i="2"/>
  <c r="O17" i="2"/>
  <c r="O18" i="2"/>
  <c r="O19" i="2"/>
  <c r="O20" i="2"/>
  <c r="O22" i="2"/>
  <c r="O23" i="2"/>
  <c r="O24" i="2"/>
  <c r="O25" i="2"/>
  <c r="O26" i="2"/>
  <c r="O27" i="2"/>
  <c r="O29" i="2"/>
  <c r="O30" i="2"/>
  <c r="O31" i="2"/>
  <c r="O32" i="2"/>
  <c r="O33" i="2"/>
  <c r="O34" i="2"/>
  <c r="O35" i="2"/>
  <c r="O36" i="2"/>
  <c r="O37" i="2"/>
  <c r="O38" i="2"/>
  <c r="O39"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5" i="2"/>
  <c r="O116" i="2"/>
  <c r="O117" i="2"/>
  <c r="O118" i="2"/>
  <c r="O119" i="2"/>
  <c r="O120" i="2"/>
  <c r="O124" i="2"/>
  <c r="O125" i="2"/>
  <c r="O126" i="2"/>
  <c r="O128" i="2"/>
  <c r="O129" i="2"/>
  <c r="O130" i="2"/>
  <c r="O131" i="2"/>
  <c r="O132" i="2"/>
  <c r="O133" i="2"/>
  <c r="O134" i="2"/>
  <c r="O136"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5" i="2"/>
  <c r="O186" i="2"/>
  <c r="O187" i="2"/>
  <c r="O188" i="2"/>
  <c r="O189" i="2"/>
  <c r="O190" i="2"/>
  <c r="O191" i="2"/>
  <c r="O192" i="2"/>
  <c r="O193" i="2"/>
  <c r="O194" i="2"/>
  <c r="O195" i="2"/>
  <c r="O197" i="2"/>
  <c r="O198" i="2"/>
  <c r="O199" i="2"/>
  <c r="O200" i="2"/>
  <c r="O201" i="2"/>
  <c r="O202" i="2"/>
  <c r="O203" i="2"/>
  <c r="O204" i="2"/>
  <c r="O205" i="2"/>
  <c r="O206" i="2"/>
  <c r="O207" i="2"/>
  <c r="O209" i="2"/>
  <c r="O210"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1" i="2"/>
  <c r="O292" i="2"/>
  <c r="O293" i="2"/>
  <c r="O294" i="2"/>
  <c r="O295" i="2"/>
  <c r="O296" i="2"/>
  <c r="O297" i="2"/>
  <c r="O298" i="2"/>
  <c r="O299" i="2"/>
  <c r="O300" i="2"/>
  <c r="O301" i="2"/>
  <c r="O317" i="2"/>
  <c r="O318" i="2"/>
  <c r="O319" i="2"/>
  <c r="O320" i="2"/>
  <c r="O321" i="2"/>
  <c r="O322" i="2"/>
  <c r="O323" i="2"/>
  <c r="O324" i="2"/>
  <c r="O325" i="2"/>
  <c r="O326" i="2"/>
  <c r="O327" i="2"/>
  <c r="O328" i="2"/>
  <c r="O329" i="2"/>
  <c r="O332" i="2"/>
  <c r="O334" i="2"/>
  <c r="O335" i="2"/>
  <c r="O336" i="2"/>
  <c r="O337" i="2"/>
  <c r="O338" i="2"/>
  <c r="O339" i="2"/>
  <c r="O340" i="2"/>
  <c r="O343" i="2"/>
  <c r="O344" i="2"/>
  <c r="O345" i="2"/>
  <c r="O346" i="2"/>
  <c r="O347" i="2"/>
  <c r="O349" i="2"/>
  <c r="O350" i="2"/>
  <c r="O351" i="2"/>
  <c r="O352" i="2"/>
  <c r="O353" i="2"/>
  <c r="O354" i="2"/>
  <c r="O355" i="2"/>
  <c r="O356" i="2"/>
  <c r="O357" i="2"/>
  <c r="S267" i="9" l="1"/>
  <c r="BD267" i="9"/>
  <c r="BF267" i="9" s="1"/>
  <c r="BG259" i="9" s="1"/>
  <c r="C15" i="10"/>
  <c r="S297" i="9"/>
  <c r="BD297" i="9"/>
  <c r="BF297" i="9" s="1"/>
  <c r="BG297" i="9" s="1"/>
  <c r="C17" i="10" l="1"/>
</calcChain>
</file>

<file path=xl/sharedStrings.xml><?xml version="1.0" encoding="utf-8"?>
<sst xmlns="http://schemas.openxmlformats.org/spreadsheetml/2006/main" count="10693" uniqueCount="2895">
  <si>
    <t>Enero</t>
  </si>
  <si>
    <t>Febrero</t>
  </si>
  <si>
    <t>Marzo</t>
  </si>
  <si>
    <t>Abril</t>
  </si>
  <si>
    <t>Mayo</t>
  </si>
  <si>
    <t>Junio</t>
  </si>
  <si>
    <t>Julio</t>
  </si>
  <si>
    <t>Agosto</t>
  </si>
  <si>
    <t>Septiembre</t>
  </si>
  <si>
    <t>Octubre</t>
  </si>
  <si>
    <t>Noviembre</t>
  </si>
  <si>
    <t>Diciembre</t>
  </si>
  <si>
    <t>Dependencia</t>
  </si>
  <si>
    <t>Grupo Comunicaciones y Prensa</t>
  </si>
  <si>
    <t>Dirección de energía electrica</t>
  </si>
  <si>
    <t>Dirección de Formalización Minera</t>
  </si>
  <si>
    <t>Dirección de hidrocarburos</t>
  </si>
  <si>
    <t>Dirección de Minería Empresarial</t>
  </si>
  <si>
    <t>Grupo de Ejecución  Estratégica del Sector Estractivo</t>
  </si>
  <si>
    <t>Grupo Asuntos Legislativos</t>
  </si>
  <si>
    <t>Grupo Gestión Financiera y Contable</t>
  </si>
  <si>
    <t>Grupo de Control Interno Disciplinario</t>
  </si>
  <si>
    <t>Grupo de Jurisdicción  Coactiva</t>
  </si>
  <si>
    <t>Grupo Gestión Contractual</t>
  </si>
  <si>
    <t>Oficina de Asuntos Ambientales y Sociales</t>
  </si>
  <si>
    <t>Oficina de Asuntos Regulatorios y Empresariales</t>
  </si>
  <si>
    <t>Oficina de Control Interno</t>
  </si>
  <si>
    <t>Oficina de Planeación y Gestión Internacional</t>
  </si>
  <si>
    <t>Grupo de Gestión presupuestal</t>
  </si>
  <si>
    <t>Grupo de Gestión de la información y Servicio Ciudadano</t>
  </si>
  <si>
    <t>Grupo Servicios Administrativos</t>
  </si>
  <si>
    <t>Subdirección de Talento Humano</t>
  </si>
  <si>
    <t xml:space="preserve">Grupo de Soluciones Digitales </t>
  </si>
  <si>
    <t>Grupo de Infraestructura Tecnológica</t>
  </si>
  <si>
    <t>Grupo Unidad de Resultados</t>
  </si>
  <si>
    <t>Oficina Asesora Jurídica</t>
  </si>
  <si>
    <t>Indicadores con programación</t>
  </si>
  <si>
    <t>Indicadores sin programación</t>
  </si>
  <si>
    <t>RANGO</t>
  </si>
  <si>
    <t>CANTIDAD</t>
  </si>
  <si>
    <t>Cero</t>
  </si>
  <si>
    <t>1% - 50%</t>
  </si>
  <si>
    <t>51% - 100%</t>
  </si>
  <si>
    <t>Mayor 100%</t>
  </si>
  <si>
    <t>Formato</t>
  </si>
  <si>
    <t>Ponderación</t>
  </si>
  <si>
    <t>Clasificador</t>
  </si>
  <si>
    <t>Proceso</t>
  </si>
  <si>
    <t>ENERO</t>
  </si>
  <si>
    <t>FEBRERO</t>
  </si>
  <si>
    <t>MARZO</t>
  </si>
  <si>
    <t>ABRIL</t>
  </si>
  <si>
    <t>MAYO</t>
  </si>
  <si>
    <t>JUNIO</t>
  </si>
  <si>
    <t>JULIO</t>
  </si>
  <si>
    <t>AGOSTO</t>
  </si>
  <si>
    <t>SEPTIEMBRE</t>
  </si>
  <si>
    <t>OCTUBRE</t>
  </si>
  <si>
    <t>NOVIEMBRE</t>
  </si>
  <si>
    <t>DICIEMBRE</t>
  </si>
  <si>
    <t>Estrategia</t>
  </si>
  <si>
    <t>Inicio</t>
  </si>
  <si>
    <t>Fin</t>
  </si>
  <si>
    <t xml:space="preserve">Programación </t>
  </si>
  <si>
    <t>Avance Cuantitativo</t>
  </si>
  <si>
    <t>Avance Cualitativo</t>
  </si>
  <si>
    <t>Reporte</t>
  </si>
  <si>
    <t>Sumatoria programaciones</t>
  </si>
  <si>
    <t>Sumatoria avances</t>
  </si>
  <si>
    <t>Formula</t>
  </si>
  <si>
    <t>PA-COM-01</t>
  </si>
  <si>
    <t>Comunicar de manera efectiva la importancia del sector minero energetico en la vida diaria de los colombianos asi como su aporte economico y de transformacion del sector.</t>
  </si>
  <si>
    <t>Cantidad</t>
  </si>
  <si>
    <t>#</t>
  </si>
  <si>
    <t>No Reportó</t>
  </si>
  <si>
    <t>rdramirez</t>
  </si>
  <si>
    <t>PA-COM-02</t>
  </si>
  <si>
    <t>Empoderar a través de la comunicación al equipo humano del Ministerio de Minas y Energía, para contribuir a la Transformación Cultural y el cumplimiento del objetivo estratégico de la entidad</t>
  </si>
  <si>
    <t>Porcentaje</t>
  </si>
  <si>
    <t>%</t>
  </si>
  <si>
    <t>mcpestana</t>
  </si>
  <si>
    <t>PA-COM-03</t>
  </si>
  <si>
    <t>Potenciar el uso de herramientas digitales con contenidos pedagógicos para dar a conocer a los distintos públicos de interés la importancia del sector minero-energético para la reactivación y el desarrollo sostenible del país</t>
  </si>
  <si>
    <t>PA-DEE-01</t>
  </si>
  <si>
    <t>Dirección de Energía Eléctrica</t>
  </si>
  <si>
    <t>Ampliar la cobertura del servicio de energía eléctrica en las zonas rurales del país</t>
  </si>
  <si>
    <t>" A 31 de marzo del año 2021, se registraron 1.224 nuevos usuarios con servicio de energía eléctrica, de los cuales (252) fueron financiados con recursos FAZNI, ubicados en el departamento de Guainía, municipio de Inírida; y los restantes, fueron financiados con recursos del SGR, distribuidos así: (33) nuevos usuarios, ubicados en el departamento de Vichada, municipio de Puerto Carreño; (214) nuevos usuarios, ubicados en el departamento de Vichada, municipio de Cumaribo; (305) nuevos usuarios, ubicados en el departamento de La Guajira, municipio de Manaure; (207) nuevos usuarios, ubicados en el departamento de Boyacá, municipio de Labranzagrande; (154) nuevos usuarios, ubicados en el departamento de Chocó, municipio de Unguía; (7) nuevos usuarios, ubicados en el departamento de Casanare, municipio de Recetor; y (52) nuevos usuarios, ubicados en el departamento de Nariño, municipio de Santa Bárbara de Iscuandé.</t>
  </si>
  <si>
    <t>A 30 de abril del año 2021, se registraron 2197 nuevos usuarios con servicio de energía eléctrica, de los cuales fueron financiados con recursos FAER: (250) ubicados en el departamento de Sucre, municipio de Ovejas; (61) en el departamento de Meta, municipio de San Martín; (50) en el departamento de Meta, municipio de Cumaral;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(332) nuevos usuarios, ubicados en el departamento de Córdoba, municipio de Puerto Libertador; (137) nuevos usuarios, ubicados en el departamento de La Guajira, municipio de Maicao;  y (343) nuevos usuarios, ubicados en el departamento de La Guajira, municipio de Manaure</t>
  </si>
  <si>
    <t>PA-DEE-02</t>
  </si>
  <si>
    <t>Se reporta trimestre vencido</t>
  </si>
  <si>
    <t>En el primer trimestre del año 2021 se han conectado 2704 nuevos usuarios con recursos privados.</t>
  </si>
  <si>
    <t>esolarte</t>
  </si>
  <si>
    <t>PA-DEE-03</t>
  </si>
  <si>
    <t>Se tiene listado de proyectos remitidos por IPSE y UPME y a febrero 28 no se han radicado proyectos al MME</t>
  </si>
  <si>
    <t>UPME e IPSE se encuentra en el proceso de viabilización de proyectos, a la fecha no se ha radicado ningún proyecto en el MME</t>
  </si>
  <si>
    <t>PA-DEE-04</t>
  </si>
  <si>
    <t>Mejorar la calidad y confiabilidad del servicio de energia electrica de las familias con el programa de normalización de redes electrica-PRONE</t>
  </si>
  <si>
    <t>Inicio proceso de planificación de la convocatoria</t>
  </si>
  <si>
    <t>Las actividades Elaboración de la minuta y anexos y las diferentes revisiones de la minuta se realizaron cumpliendo el cronograma inicialmente establecido. Por otro lado, la actividad "Publicación para comentarios Resolución Convocatoria PRONE en la página Web" inicio el 24 de marzo hasta el 8 de abril</t>
  </si>
  <si>
    <t>PA-DEE-05</t>
  </si>
  <si>
    <t>Formular un mecanismo para la universalización del acceso al servicio de energia electrica en Colombia</t>
  </si>
  <si>
    <t>lmvega</t>
  </si>
  <si>
    <t>PA-DEE-06</t>
  </si>
  <si>
    <t>Sistematizar los procesos de la administración de los fondos de subsidios del sector electrico</t>
  </si>
  <si>
    <t>jemunoz</t>
  </si>
  <si>
    <t>PA-DEE-08</t>
  </si>
  <si>
    <t>Actualizar los Reglamentos Técnicos a cargo del sector de energia.</t>
  </si>
  <si>
    <t>PA-DEE-09</t>
  </si>
  <si>
    <t>Implementaremos las medidas necesarias para potenciar el sector, de forma que este sea competitivo y logre posicionarse a nivel internacional</t>
  </si>
  <si>
    <t>Garantizar la confiabilidad del sistema de energía eléctrica</t>
  </si>
  <si>
    <t>PA-DFM-01</t>
  </si>
  <si>
    <t xml:space="preserve">Asegurar una actividad minera viable, rentable y sostenible con altos niveles de legalidad y acceso al sector financiero para lograr transaccionalidad
</t>
  </si>
  <si>
    <t>Asegurar una actividad minera viable, rentable y sostenible con altos niveles de formalidad y acceso al sector financiero (Minero 5) enmarcado en los lineamientos de fomento minero.</t>
  </si>
  <si>
    <t xml:space="preserve">No se registra avance de la actividad </t>
  </si>
  <si>
    <t>Se ha realizado acercamiento con diferentes aliados que harán parte de las redes: SENA, ANM, SGC, Universidad Nacional sede Medellín, Universidad de Caldas, Gerente Manizales Más, Centro Provincial del Nordeste Antioqueño, SGS, Centro de Desarrollo Tecnológico minero energético de Sogamoso, Asociación de Ingenieros de Minas, Cooperación Internacional, UPTC, Universidad Santo Tomás, Fenalcarbón, GDIAM.
Se acordó la estrategia de articulación con el SENA y la ANM como aliados y parte de la red de prestadores de servicios de fomento, así mismo se dio inicio a las jornadas ténicas para definición de actividades y metas dentro de los planes de acción preliminares.</t>
  </si>
  <si>
    <t>Se realizó la firma del memorando de entendimiento para el departamento de Caldas, en revisión de la OAJ los memorandos de Boyacá y Cundinamarca. El memorando para el departamento de Antioquia ya fue aprobado en el primer comité de la gobernación, a la espera de aprobación por parte de un segundo comité.</t>
  </si>
  <si>
    <t>PA-DFM-02</t>
  </si>
  <si>
    <t>Desarrollar un mecanismo de seguimiento, monitoreo, control y evaluación a la implementación de Políticas, Planes, Programas y Proyectos orientados al Fomento del sector minero</t>
  </si>
  <si>
    <t>Se adelantaron mesas con la UPME, ANM, DNP y la oficina de planeación del Ministerio para la recolección de requisitos.</t>
  </si>
  <si>
    <t>PA-DFM-03</t>
  </si>
  <si>
    <t>Dar cumplimiento al convenio de minamata adoptado por colombia mediante la ley 1892 de 2018, en lo relacionado con el sector minero.</t>
  </si>
  <si>
    <t>El 22 febrero se realizó reunión la asesora jurídica de la dirección, con el fin de definir el mecanismo de adopción del plan, llegando a la conclusión de que será presentado al señor Ministro y enviado mediante comunicaciones oficiales a cada una de las entidades del sector.</t>
  </si>
  <si>
    <t>0,1</t>
  </si>
  <si>
    <t>A la espera del visto bueno del plan construido de manera conjunta con las entidades adscritas y delegadas para ser presentado al señor ministro.</t>
  </si>
  <si>
    <t>El plan se encuentra elaborado a la espera de ser enviado a las entidades del sector para su VoBo, posterior presentación a la alta dirección y publicación en la pagina web.</t>
  </si>
  <si>
    <t>PA-DFM-04</t>
  </si>
  <si>
    <t xml:space="preserve">Adoptar e implementar la polìtica relacionada con la minería de subsistencia  </t>
  </si>
  <si>
    <t>Documento</t>
  </si>
  <si>
    <t xml:space="preserve">Plan de Socialización elaborado, en definición de obligación de ser sujeto de consulta previa. </t>
  </si>
  <si>
    <t xml:space="preserve">Se definió de manera preliminar que el documento de política debe ser consultado con comunidades para lo cual se trabaja en la integración de un capítulo étnico. </t>
  </si>
  <si>
    <t>PA-DFM-05</t>
  </si>
  <si>
    <t>Documento análisis de brechas en elaboración</t>
  </si>
  <si>
    <t>Documento de análisis de brechas en elaboración.</t>
  </si>
  <si>
    <t>PA-DFM-06</t>
  </si>
  <si>
    <t>Elevar los niveles de legalidad de la actividad minera en Colombia</t>
  </si>
  <si>
    <t>Planes de Acción realizados. Norte de Santander, putumayo, Nariño,  Caldas, Antioquia (Bajo Cauca), Boyacá, Cauca, Cundinamarca.</t>
  </si>
  <si>
    <t>Se cuenta a la fecha con 11 planes de articulación en territorio, entre ellos:
ANTIOQUIA, Mesa Minera Segovia- Remedios, Asociación de Chatarreros Segovia y Remedios, Mesa Minero Agroambiental del Nordeste
Conalminercol
RISARALDA
Asoc Mineros Artesanales de Quinchos
Asomirra, Asoc Barequeros de Miraflores y Aguas Claras
CALDAS
Asoc Mineros Tradicionales de Marmato
Minga Indígena
CÓRDOBA
Asoc Mineros El Alacrán, Fedeagromisbol
CAUCA
Aconc, Cric
BOYACÁ
Confedesmeraldas</t>
  </si>
  <si>
    <t>fchamorro</t>
  </si>
  <si>
    <t>PA-DFM-07</t>
  </si>
  <si>
    <t xml:space="preserve">Apoyar las acciones de control a la ilegalidad para proteger las actividades ilegales.  </t>
  </si>
  <si>
    <t xml:space="preserve">Se avanzó en la retroalimentación y socialización del PL ante los congresistas y demás parte interesadas, las cuales realizaron comentarios y sugerencias. </t>
  </si>
  <si>
    <t>Se continúa en la retroalimentación y socialización del PL ante los congresistas y demás partes interesadas, las cuales realizaron comentarios y sugerencias, por lo que se han realizado ajustes de acuerdo a lo recibido por cada uno. Se espera que el  11 de Marzo se presente ponencia positiva en la comisión 1era.</t>
  </si>
  <si>
    <t>Se continúa trabajando en la coordinación y concertación del articulado  del PL con las diferentes partes involucradas. Se está a la espera de fecha para presentación de ponencia positiva y así avanzar en su trámite.</t>
  </si>
  <si>
    <t> </t>
  </si>
  <si>
    <t>PA-DH-01</t>
  </si>
  <si>
    <t>Dirección de Hidrocarburos</t>
  </si>
  <si>
    <t>Impulsar el abastecimiento de gas en el país.</t>
  </si>
  <si>
    <t>Iniciar el proceso de transformación  y medición de la operatividad del Sistema de la cadena de distribución de combustibles líquidos derivados del petróleo.</t>
  </si>
  <si>
    <t>svelez</t>
  </si>
  <si>
    <t>PA-DH-02</t>
  </si>
  <si>
    <t>PA-DH-03</t>
  </si>
  <si>
    <t>Reducir el impacto ambiental del uso de combustibles fósiles, a partir de la mejora en la calidad de los mismos.</t>
  </si>
  <si>
    <t>lfgarcia</t>
  </si>
  <si>
    <t>PA-DH-04</t>
  </si>
  <si>
    <t>Aumentar la confiabilidad y garantizar el abastecimiento de combustibles líquidos derivados del petróleo</t>
  </si>
  <si>
    <t>PA-DH-05</t>
  </si>
  <si>
    <t>PA-DH-06</t>
  </si>
  <si>
    <t>PA-DH-07</t>
  </si>
  <si>
    <t>PA-DH-08</t>
  </si>
  <si>
    <t>PA-DH-09</t>
  </si>
  <si>
    <t>PA-DH-010</t>
  </si>
  <si>
    <t>Promover el mayor uso de biocombustibles en demanda regulada y explorar usos alternativos</t>
  </si>
  <si>
    <t>Promover el uso alternativo de biocombustibles  en la cadena de distribucón de biocombustibles.</t>
  </si>
  <si>
    <t>jaortiz</t>
  </si>
  <si>
    <t>PA-DH-011</t>
  </si>
  <si>
    <t>Promover la confiabilidad e integridad de los medios de transporte de crudo en el país</t>
  </si>
  <si>
    <t>Revisar y hacer seguimiento a  los protocolos de respuesta ante eventos de emergencia y/o situaciones que afecten la infraestructura de oleoductos en el país.</t>
  </si>
  <si>
    <t>PA-DH-012</t>
  </si>
  <si>
    <t>PA-DH-013</t>
  </si>
  <si>
    <t>PA-DH-014</t>
  </si>
  <si>
    <t>Dar continuidad a la promoción de inversiones en las actividades de exploración y producción, a través de la expedición de reglamentos técnicos</t>
  </si>
  <si>
    <t>carincon</t>
  </si>
  <si>
    <t>PA-DH-015</t>
  </si>
  <si>
    <t>Fortalecer los mecanismos de generación de confianza y de relación con el territorio para viabilizar los proyectos del sector y así brindar seguridad y confiablidad energetica al País</t>
  </si>
  <si>
    <t xml:space="preserve">Elaborar Estratégia ¨ETH¨actualizada y operativa en al menos cinco regiones de mayor conflictividad (Putumayo, Meta, Cesar, Santander y Casanare)   </t>
  </si>
  <si>
    <t>Inicio de actividades de al menos uno de los PPIIs</t>
  </si>
  <si>
    <t>patamayo</t>
  </si>
  <si>
    <t>PA-DME-01</t>
  </si>
  <si>
    <t>Aumentar en un 5% la inclusión financiera del sector minero</t>
  </si>
  <si>
    <t>amcastillo</t>
  </si>
  <si>
    <t>PA-DME-02</t>
  </si>
  <si>
    <t>Elevar el número de estándares y  buenas prácticas implementados en el sector minero</t>
  </si>
  <si>
    <t>PA-DME-03</t>
  </si>
  <si>
    <t>PA-DME-04</t>
  </si>
  <si>
    <t>Diversificar la producción de minerales en el país</t>
  </si>
  <si>
    <t>PA-DME-05</t>
  </si>
  <si>
    <t>Incremento  en la producción de oro (por cuenta de titulares mineros)</t>
  </si>
  <si>
    <t>PA-DME-06</t>
  </si>
  <si>
    <t>Herramienta de gestión de la Dirección con  información del sector minero implemetada</t>
  </si>
  <si>
    <t>PA-GEESE-01</t>
  </si>
  <si>
    <t>Establecer la política de transparencia del sector extractivo en el marco del Sistema General de Regalías (SGR).</t>
  </si>
  <si>
    <t>Finalizando el mes de enero, se adelantó el proceso de contratación del profesional requerido del seguimiento para la construcción de la Política de Transparencia del Sector Extractivo.</t>
  </si>
  <si>
    <t xml:space="preserve">Durante el mes de febrero se adelantó la reunión con las consultoras de la firma GIZ para la entrega y socialización interna del documento de lineamientos de política obtenidos de la consultoría de 2020. Posteriormente se dio inicio a la elaboración de los términos de referencia para este proceso, y se construyó la ficha técnica para salir a estudio de mercado.  </t>
  </si>
  <si>
    <t>PA-GEESE-02</t>
  </si>
  <si>
    <t>Promover el flujo constante de recursos de regalías, estimulando el desarrollo de los territorios a partir de los beneficios que genera el sector extractivo.</t>
  </si>
  <si>
    <t xml:space="preserve">Se elaboró el documento técnico y se envío a la Oficina Asesora Jurídica del MME para revisión. </t>
  </si>
  <si>
    <t>Durante el evento de lanzamiento del IP en la ciudad de Riohacha, La Guajira, el 21 de abril de 2021 se expidió la Resolución 4 0124, mediante la cual se desarrolló la metodología adoptada por la Comisión Rectora del SGR para incentivar la producción de recursos naturales no renovables y el transporte marítimo y fluvial de estos recursos y sus derivados, y se estableció la asignación y distribución parcial para el bienio 2021-2022 que beneficia a 212 municipios por un monto de $287MM.</t>
  </si>
  <si>
    <t>PA-GEESE-03</t>
  </si>
  <si>
    <t xml:space="preserve">Durante el mes de enero, con el avance en los procesos de contratación del equipo requerido, se retomó el acompañamiento a las entidades territoriales beneficiarias de recursos del Incentivo a la producción. </t>
  </si>
  <si>
    <t>PA-GEESE-04</t>
  </si>
  <si>
    <t>Acompañar a las entidades territoriales en las etapas que comprenden el ciclo de los proyectos de inversión de otros sectores, susceptibles de ser financiados con recursos del Incentivo a la Producción, Exploración y Formalización.</t>
  </si>
  <si>
    <t>Durante el mes de enero no se tenía prevista la aprobación de nuevos proyectos de inversión con cargo a los recursos del Incentivo a la Producción.  No obstante lo anterior, con el avance en los procesos de contratación del equipo requerido se retomó el acompañamiento a los municipios beneficiarios de estos recursos.</t>
  </si>
  <si>
    <t>PA-GEESE-05</t>
  </si>
  <si>
    <t>Focalizar recursos de regalías hacia proyectos que amplíen la cobertura de energía eléctrica.</t>
  </si>
  <si>
    <t>Durante el mes de enero no se tenía prevista la aprobación de nuevos proyectos de inversión con cargo a los recursos del SGR.  No obstante lo anterior, con el avance en los procesos de contratación del equipo requerido se retomó el acompañamiento a los municipios beneficiarios de estos recursos.</t>
  </si>
  <si>
    <t>Para este periodo se incluyen tres proyectos aprobados en los municipios de Palermo -  Huila (131 usuarios), Distracción y Riohacha - La Guajira (426 usuarios) y Departamento de Magdalena (1.137 usuarios), aprobados al cierre de diciembre 2020, los cuales se evidenciaron en el reporte de DNP - Gesproy de febrero 2021 por lo tanto, no fueron reportados en el Plan de Acción de la vigencia 2020.</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</si>
  <si>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que beneficien nuevos usuarios de energía eléctrica. Se prevé que el OCAD PAZ  empezará a sesionar a partir del mes de mayo para la aprobación de proyectos de inversión.
En relación con otras fuentes del SGR, las entidades se encuetran adelantando sus procesos de formulación de proyectos en el marco del nuevo sistema para su próxima aprobación.</t>
  </si>
  <si>
    <t>Nuevos usuarios de energía eléctrica con recursos SGR (proyectos terminados)</t>
  </si>
  <si>
    <r>
      <t xml:space="preserve">Durante el mes de enero, con el avance en los procesos de contratación del equipo requerido, se inició el acompañamiento a las entidades territoriales  </t>
    </r>
    <r>
      <rPr>
        <u/>
        <sz val="9"/>
        <rFont val="Calibri"/>
        <family val="2"/>
        <scheme val="minor"/>
      </rPr>
      <t>en la ejecución y terminación de los contratos para la ampliación de cobertura en energía eléctrica financiados con recursos del SGR.</t>
    </r>
  </si>
  <si>
    <t xml:space="preserve">Para este periodo se reportan ocho (8) proyectos terminados de energía eléctrica en los municipios de: Puerto Leguizamo (391 usuarios), Carurú (48 usuarios), Departamento Cundinamarca (178 usuarios), Yopal (738), Valle del Guamuez (28 usuarios), Belén de los Andaquíes (94 usuarios), Pisba (89 usuarios) y Río Viejo (42 usuarios). </t>
  </si>
  <si>
    <t xml:space="preserve">En abril 2021 se reportan ocho (8) proyectos terminados que benefician a 1.712 nuevos usuarios, así: Montelibano (579); Puerto Libertador (332); El Charco Nariño (95); El Retorno - Guavire (115): Ovejas - Sucre (36); Policarpa - Nariño (75); Manaure - La Guajira (343); Maicao - La Guajira (137). </t>
  </si>
  <si>
    <t>PA-GEESE-06</t>
  </si>
  <si>
    <t>Focalizar recursos de regalías hacia proyectos que amplíen la cobertura de gas domiciliario.</t>
  </si>
  <si>
    <t xml:space="preserve">Para este periodo se  incluye un proyecto de gas en el municipio de Cómbita - Boyacá (450 usuarios) aprobado al cierre de diciembre 2020, el cual se evidenció en el reporte de DNP - Gesproy de febrero 2021 por lo tanto, no fue reportado en el Plan de Acción de la vigencia 2020. 
Adicionalmente se brindó orientación relacionada con la presentación de proyectos de gas ante el SGR al municipio del Valle del Guamuez, recursos del SGR.  </t>
  </si>
  <si>
    <t>Para el mes de abril se reporta la aprobación de tres (3) proyectos que beneficiaran a 6.494 nuevos usuarios de gas en los municipios de San Luis de Tolima (675 nuevos usuarios) ; Departamento de Caquetá (3649 nuevos usuarios) y Belén de los Andaquies (2170 nuevos usuarios).</t>
  </si>
  <si>
    <t>PA-GEESE-07</t>
  </si>
  <si>
    <t>Focalizar recursos de la Asignación para la Paz, para financiar proyectos de inversión orientados a la ampliación de cobertura domiciliaria de energía.</t>
  </si>
  <si>
    <t>$</t>
  </si>
  <si>
    <t>Durante el mes de enero no hubo citación para el OCAD Paz  para la aprobación de alguno de los proyectos viabilizados durante el año 2020 (48 proyectos por $704.989 millones)</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</si>
  <si>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 la Asignación para la Paz. Se prevé que el OCAD PAZ  empezará a sesionar a partir del mes de mayo para la aprobación de proyectos de inversión con cargo a estos recursos.</t>
  </si>
  <si>
    <t>PA-GEESE-08</t>
  </si>
  <si>
    <t>Visibilizar en los territorios los beneficios que genera el sector extractivo a partir de las socializaciones y entregas de los proyectos financiados con recursos del Incentivo a la Producción, Exploración y Formalización.</t>
  </si>
  <si>
    <t>Durante el mes de enero no se tenía prevista la realización de socializaciones ni entregas de los proyectos de inversión financiados con recursos de Incentivo a la Producción en tanto se adelantaban los procesos de contratación del equipo requerido.</t>
  </si>
  <si>
    <t>PA-GEESE-09</t>
  </si>
  <si>
    <t xml:space="preserve">Impulsar la conformación de los Comités Tripartitos Locales (CTL) fortaleciendo los procesos de gobernanza y debate informado. </t>
  </si>
  <si>
    <t>Comités Tripartitos Subnacionales conformados y sesionandos</t>
  </si>
  <si>
    <t xml:space="preserve">Finalizando el mes de enero, con el avance en los procesos de contratación del equipo requerido se realizó la solicitud formal de prórroga al convenio de donación, se adelantó la revisión de la modalidad de contratación, y se adelantaron los tramites necesarios para la apropiación de recursos con DNP. </t>
  </si>
  <si>
    <t>Durante el mes de febrero se avanzó en la construcción de los terminos de referencia para el proceso requerido.
Frente al proceso Subnacional, se adelantó reunión con la Agencia Presidencial de Cooperación Internacional de Colombia, APC-Colombia, con el fin de garantizar el proceso de incorporación de los recursos, y se avanzó con la elaboración de los términos de referencia.</t>
  </si>
  <si>
    <t>Durante el mes de abril se  realizó el trámite en APC, avanzando en los trámites correspondientes ante DNP y  Ministerio de Hacienda. Según comunicación del Banco Mundial,  se espera que en el mes de mayo se obtenga la comunicación oficial de prórroga y  la emisión del acto administrativo con la incorporación de los recursos.</t>
  </si>
  <si>
    <t>PA-GAL-01</t>
  </si>
  <si>
    <t>cumplir con los tiempos establecidos en dicha Ley</t>
  </si>
  <si>
    <t>Realizar seguimiento a los requerimientos y Derechos de Petición basados en la Ley 5 de 1992</t>
  </si>
  <si>
    <t>Informes</t>
  </si>
  <si>
    <t>Se recibieron en el mes de enero 5 solicitudes de informacion de congresistas , estas con su respectiva trazabilidad se les dio la respuesta.</t>
  </si>
  <si>
    <t>se recibieron 14 solicitudes de informacion de estas 5 son de Senado y 9 de camara, de estas 9 ya se tramitaron con su respectivo radicado, las 5 restantes estan en proceso de visto bueno, para su posterior firma y radicaciòn.</t>
  </si>
  <si>
    <t>se recibieron 9 solicitudes de informacion de las cuales 6 se dio respectivo tramite de respuesta las 3 pendientes estan en proceso de visto bueno, para su posterior firma, radicaciòn y salida.</t>
  </si>
  <si>
    <t>se recibieron 12 solicitudes de informacion de Congresistas de estas  se dio respectivo tramite de respuesta a 3 pendientes 9 estan en proceso de visto bueno, para su posterior firma, radicaciòn y salida.</t>
  </si>
  <si>
    <t>PA-GAL-02</t>
  </si>
  <si>
    <t xml:space="preserve">
Realizar seguimiento a los requerimientos de control Político del Congreso de la República</t>
  </si>
  <si>
    <t>No se realizo ningun requerimiento o invitaciòn de control politico ya que el congreso se encuentra en receso legislativo</t>
  </si>
  <si>
    <t>En este mes se cito a Audiencias Publicas relacionadas con temas del sector como PL FRACKING, Asbesto, Isa, PL 440 (Minas) Dos de estas se llevaron a cabo el 22 y 23 de Marzo, asistiò en Viceministro y el Ministro.</t>
  </si>
  <si>
    <t>En el mes de marzo se llevo a cabo Foro de PL Transicion Energetica 9/03/21. Audiencia Pùblica de PL YNC 5/03/21. Audiencia Pùblica YNC 11/03/21. Audiencia Publica Asbesto 12/03/21. A estas audiencia asistio el Ministro y la Viceministra.</t>
  </si>
  <si>
    <t xml:space="preserve">En el mes de Abril se llevo a cabo los siguientes Debates de Control Politico sin cuestionario .                                   12 abril Debate Regasificadora           13 abril Debate de Control politico Ley 2 de 1959                                                  21Abril Debate de control politico Paramos                                           Comisión Quinta Sesion Ordinaria </t>
  </si>
  <si>
    <t>PA-GAL-03</t>
  </si>
  <si>
    <t>Conceptos emitidos sobre Proyectos de Ley que tengan impacto en el sector Minero Energético</t>
  </si>
  <si>
    <t>En este mes no se emitio ningun concepto de Proyecto de Ley</t>
  </si>
  <si>
    <t>En este mes se emitiò Concepto Proyecto de Acto Legislativo Nº 458 de 2020 Cámara - 22 de 2020 Senado “Por medio del cual se reforma la Constitución Política de Colombia en su artículo 79 adicionando un inciso que prohíbe expresamente el ejercicio de actividades de exploración y explotación mineras en ecosistemas de páramos”.</t>
  </si>
  <si>
    <t>En el mes de marzo no se ha emitido ningun concepto, estan para visto bueno de los asesores.</t>
  </si>
  <si>
    <t>En el mes de abril no se ha emitido ningun concepto por pate del Ministerio, se esta trabajando en varias iniciativas Legislativas las cuales estan en revision de la oficna Asesora Juridica.</t>
  </si>
  <si>
    <t>PA-GGFC-01</t>
  </si>
  <si>
    <t>Intervenir procesos con metodologias agiles -Excelencia Operacional</t>
  </si>
  <si>
    <t xml:space="preserve"> Mejorar la razonabilidad, seguimiento y control de las cifras en los estados financieros</t>
  </si>
  <si>
    <t>PA-GCID-01</t>
  </si>
  <si>
    <t>Fortalecer la cultura de la legalidad, integridad, transparencia y probidad en la gestión pública a cargo de los servidores y colaboradores del MinEnergía</t>
  </si>
  <si>
    <t>mccaceres</t>
  </si>
  <si>
    <t>PA-GCID-02</t>
  </si>
  <si>
    <t xml:space="preserve">Aportar al desarrollo del valor institucional de integridad y transparencia, mediante la investigación y sanción de conductas que contrarien los principios y fines de la función pública. </t>
  </si>
  <si>
    <t>PA-GJC-01</t>
  </si>
  <si>
    <t>Diseño del sistema de información para el cobro coactivo</t>
  </si>
  <si>
    <t>Sistema de información diseñado</t>
  </si>
  <si>
    <t>1. Se encuentra en curso el sondeo de mercado SIP-027-2021 incluyendo el servicio de modelado del proceso coactivo. Se espera disponer de los resultados del mismo a partir de la semana entrante para continuar con el proceso pre-contractual.
2. Finalizada la normalización de data y verificación de documentos correspondientes a las actuaciones adelantadas en los expedientes coactivos (103 expedientes, 14000 documentos, aprox) se encuentran en proceso de cargue masivo a ARGO en los expedientes ya creados en el sistema. Una vez cargados, podrán consultarse los documentos en cada expediente. En tanto nos reporte el contratista el cargue efectivo les estaremos comunicando.</t>
  </si>
  <si>
    <t>PA-GJC-02</t>
  </si>
  <si>
    <t>Desarrollo, producción y puesta en marcha del sistema</t>
  </si>
  <si>
    <t>La programación inicia en agosto de 2021</t>
  </si>
  <si>
    <t>PA-GGC-01</t>
  </si>
  <si>
    <t>Ampliar el conocimiento y aplicación de los procedimientos internos en materia de contratación estatal para mejorar la Gestión Contractual de la entidad.</t>
  </si>
  <si>
    <t>Porcentaje de avance en el cumplimiento del objetivo</t>
  </si>
  <si>
    <t>No se presenta información en este periodo</t>
  </si>
  <si>
    <t>PA-OAAS-01</t>
  </si>
  <si>
    <t>Tranversalizar el enfoque de derechos humanos, de género y diferencial étnico en la gestión del sector</t>
  </si>
  <si>
    <t>Sin Actividades programadas</t>
  </si>
  <si>
    <t>lesierra</t>
  </si>
  <si>
    <t>PA-OAAS-02</t>
  </si>
  <si>
    <t>Diseñar e implementar políticas y estrategias que contribuyan a mejorar las condiciones del entorno para el desarrollo de las operaciones del sector minero energético</t>
  </si>
  <si>
    <t>Proceso en desarrollo</t>
  </si>
  <si>
    <t>PA-OAAS-03</t>
  </si>
  <si>
    <t>Fortalecer la institucionalidad minero energética en la gestión socio ambiental sectorial</t>
  </si>
  <si>
    <t>No tiene actividad programada</t>
  </si>
  <si>
    <t>PA-OAAS-04</t>
  </si>
  <si>
    <t>PA-OAAS-05</t>
  </si>
  <si>
    <t>Contribuir al desarrollo de los territorios y armonizar el relacionamiento entre estos y el sector minero energético</t>
  </si>
  <si>
    <t>En proceso de contratación</t>
  </si>
  <si>
    <t>PA-OAAS-06</t>
  </si>
  <si>
    <t>Se cuenta con la aprobacion de los tres entregables del convenio 536 de 2020, teniendose el documento conceptual y metodológico de lineamientos del programa de sustitución que da cumplimiento a la meta establecida en un 100%.
Adicionalmente, en el marco del convenio suscrito con el MADS se cuenta con avances en los entregables por parte del MADS y por parte de Minenergia, relacionados con los convenios 398 y 536 de 2020 para la definicion de lineamientos de los programas de reconversion y sustitucion en zonas de paramo.</t>
  </si>
  <si>
    <t>PA-OAAS-07</t>
  </si>
  <si>
    <t>PA-OAAS-08</t>
  </si>
  <si>
    <t>PINES  : Se identifican cuellos de botella en los comites tecnico realizado el 27 de Enero de 2021. Se expone 11 proyectos para su inclusion, los cules fueron aprobados previamiente por el Viceministo de Energia y el MME</t>
  </si>
  <si>
    <t>PA-OAAS-09</t>
  </si>
  <si>
    <t>Sin actividades programadas</t>
  </si>
  <si>
    <t>PA-OAAS-010</t>
  </si>
  <si>
    <t>Se realizaron ajustes al documento de la  estrategia con observaciones aportadas de las direcciones del ministerio</t>
  </si>
  <si>
    <t>PA-OAAS-011</t>
  </si>
  <si>
    <t>Sin programacion de actividades</t>
  </si>
  <si>
    <t>Se cuenta con la aprobacion del oficio y se enviaron los oficios y memorandos correspondientes. Pendiente alcance frente a modificacion de la fecha de la mesa tecnica.</t>
  </si>
  <si>
    <t>PA-OAAS-012</t>
  </si>
  <si>
    <t>PUTUMAYO: Se cuenta con toda la informacion frente a la caracterizacion territorial recolectada en 2020 la cual esta en proceso de ajuste. Se cuenta con el plan de accion , y este se encuentra en proceso de validacion con autoridades locales y organización de sociedad civil</t>
  </si>
  <si>
    <t>PA-OAAS-013</t>
  </si>
  <si>
    <t xml:space="preserve">Validacion final del documento donde se establece los beneficios  ecosistemicos para el piloto , por parte de la coordinacion del proyecto  </t>
  </si>
  <si>
    <t>PA-OAAS-014</t>
  </si>
  <si>
    <t xml:space="preserve">Se diseñó y se ejecutó el encuentro inaugural del Primer Diálogo Territorial de Puerto Wilches </t>
  </si>
  <si>
    <t>PA-OAAS-015</t>
  </si>
  <si>
    <t>No se tenian actividades programadas</t>
  </si>
  <si>
    <t>PA-OARE-01</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</si>
  <si>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</si>
  <si>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MW</t>
  </si>
  <si>
    <t>La actividad está programada para meses posteriores</t>
  </si>
  <si>
    <t>spulgarin</t>
  </si>
  <si>
    <t>PA-OARE-02</t>
  </si>
  <si>
    <t>Identificar y evaluar diferentes alternativas que permitar la promoción, implementación y desarrollo de programas y proyectos en movilidad sostenible y de eficiencia energética</t>
  </si>
  <si>
    <t>lkchaves</t>
  </si>
  <si>
    <t>PA-OARE-03</t>
  </si>
  <si>
    <t>Establecer mecanismos para verificar y hacer seguimiento en la construcción de proyectos de generación de energía eléctrica</t>
  </si>
  <si>
    <t>cemartinez</t>
  </si>
  <si>
    <t>PA-OARE-04</t>
  </si>
  <si>
    <t>Contribuir en la definición y desarrollo del mapa de ruta de la Misión de Transformación Energética considerando pertinentemente las recomendaciones dadas</t>
  </si>
  <si>
    <t>zigonzalez</t>
  </si>
  <si>
    <t>PA-OARE-05</t>
  </si>
  <si>
    <t>Desarrollar y actualizar el  marco normativo para el uso seguro de los materiales nucleares y radiactivos en el territorio colombiano.</t>
  </si>
  <si>
    <t>Con OAJ se adelanta revisión para expedición de normas de seguridad física, transporte de material radiactivo y expedición de autorizaciones para el transporte de materiales radiactivos.</t>
  </si>
  <si>
    <t>jpparra</t>
  </si>
  <si>
    <t>jflozano</t>
  </si>
  <si>
    <t>PA-OARE-06</t>
  </si>
  <si>
    <t>Velar por el cumplimiento de los compromisos adquiridos por Colombia mediante Tratados, Acuerdos y Convenios en materia nuclear.</t>
  </si>
  <si>
    <t>PA-OARE-07</t>
  </si>
  <si>
    <t>Dar cumplimiento a la función de Autoridad Reguladora de los usuarios de materiales nucleares y radiactivos en el territorio colombiano</t>
  </si>
  <si>
    <t>PA-OARE-08</t>
  </si>
  <si>
    <t>Incentivar la participación de la mujer en las aplicaciones de los usos pacíficos de la energía nuclear, promovidos a través del acuerdo ARCAL.</t>
  </si>
  <si>
    <t>PA-OARE-09</t>
  </si>
  <si>
    <t>Impulsar la inclusión de tecnologías asociadas a fuentes no convencionales de energía para diversificar la matriz energética.</t>
  </si>
  <si>
    <t>jmarin</t>
  </si>
  <si>
    <t>PA-OARE-010</t>
  </si>
  <si>
    <t>Incrementar el conocimiento sobre los Materiales Radiactivos de Origen Natural en el Sector Mineroenergético.</t>
  </si>
  <si>
    <t>mmanosca</t>
  </si>
  <si>
    <t>PA-OCI-01</t>
  </si>
  <si>
    <t>Coadyuvar en la Optimización del Sistema de Control Interno del Ministerio de Minas Y Energía</t>
  </si>
  <si>
    <t>PA-OPGI-01</t>
  </si>
  <si>
    <t>Cuantificar la cooperación internacional que recibe el sector minero-energético</t>
  </si>
  <si>
    <t>Cuatificación economica de la cooperación técnica recibida por el ministerio y sus adscritas</t>
  </si>
  <si>
    <t>bcarreno</t>
  </si>
  <si>
    <t>PA-OPGI-02</t>
  </si>
  <si>
    <t>Promover el liderazgo del ministerio en espacios internacionales estrategicos</t>
  </si>
  <si>
    <t>Numero de participaciones del ministerio en escenarios internacionales estrategicos</t>
  </si>
  <si>
    <t>Mantener certificación para el MME en la norma ISO 9001:2015 mediante el cumplimiento efectivo de los requisitos</t>
  </si>
  <si>
    <t>Obtener recertificación en la NTC ISO 9001:2015 obtenido</t>
  </si>
  <si>
    <t>Fortalecer las aptitudes y conocimiento de los auditores internos y lideres de calidad del Ministerio</t>
  </si>
  <si>
    <t>Jornadas Academicas Realizadas</t>
  </si>
  <si>
    <t>lvillanueva</t>
  </si>
  <si>
    <t>Tener una herramienta que nos permita tener un seguimiento oportuno del sistema de Gestión de Calidad y la Planeación Estratégica</t>
  </si>
  <si>
    <t>Modulos de seguimiento en producción</t>
  </si>
  <si>
    <t>Implementar estrategias a través de las sendas de valor del Ministerio para fortalecer el sistema de gestión y contribuir a generar al proceso de transformación cultural</t>
  </si>
  <si>
    <t>Pilotos mde sendas implmentados</t>
  </si>
  <si>
    <t>Mejorar el Modelo Integrado de Planeación y Gestión del MME a través del resultado del reporte FURAG 2020</t>
  </si>
  <si>
    <t>Porcentaje alcanzado en el FURAG</t>
  </si>
  <si>
    <t>Propender por una ejecución presupuestal de los recursos de inversión eficiente e inteligente</t>
  </si>
  <si>
    <t xml:space="preserve">Elaborar y publicar Informe ejecutivo en materia de ejecución presupuestal. </t>
  </si>
  <si>
    <t>sromero</t>
  </si>
  <si>
    <t>Mecanismo de seguimiento implementado</t>
  </si>
  <si>
    <t>Integridad y analisis de la información que permita mejorar la automatización de los datos y el seguimiento a la Ejecución Presupuestal</t>
  </si>
  <si>
    <t>porcentaje</t>
  </si>
  <si>
    <t>PA-GGISC-01</t>
  </si>
  <si>
    <t>Optimizar la gestión de información a partir del uso de tecnologías de la información y la comunicación soportando la gestión documental en mecanismos digitales que permitan estandarizar los procesos y trámites gradualmente en entorno digital, remoto e integral.</t>
  </si>
  <si>
    <t>racaro</t>
  </si>
  <si>
    <t>PA-GGISC-02</t>
  </si>
  <si>
    <t>Acceso remoto, integral y estructurado a la documentación soporte de los procesos y trámites priorizados, gestionados por el Ministerio durante la presente administración</t>
  </si>
  <si>
    <t>0,00%</t>
  </si>
  <si>
    <t>Se realizan ajustes requeridos, por el Grupo de Gestión Contractual, a la ficha Técnica y los ajustes requeridos, por el Profesional Financiero, al Anexo Técnico. Una vez validados y aprobados dichos documentos se procede con la publicación del sondeo de mercado en SECOP II con referencia: SIP-023-2021. Así mismo se genera la proyección del borrador de los estudios previos del proceso contractual.</t>
  </si>
  <si>
    <t>PA-GGISC-03</t>
  </si>
  <si>
    <t xml:space="preserve">Brindar atención a las solictudes de menor complejidad en primer contacto.   Contribuyendo a la reduccion de los tiempos de respuesta a los ciudadanos y grupos de valor. Disminuir la carga en la areas misionales a los requerimientos clasificados como de primer nivel. </t>
  </si>
  <si>
    <t>PA-GGISC-04</t>
  </si>
  <si>
    <t xml:space="preserve">Promover acciones de innovación, que contribuyan a la promocion de la participacion ciudadana, empoderamiento de los servidores del Ministerio en cultura de innovación y al mejoramiento exponencial del servicio que se brinda al ciudadano </t>
  </si>
  <si>
    <t xml:space="preserve">Se realizaron mesas de trabajo con el DNP con el fin de conocer los procesos de acompañamiento que dicha entidad realiza en temas de innovación. De otra parte, se realizó un primer contacto con la Oficina de Asuntos Ambientales y Sociales - OAAS, con el fin de validar la posibilidad de unir esfuerzos para el proceso de innovación 2021. </t>
  </si>
  <si>
    <t>PA-GSA-01</t>
  </si>
  <si>
    <t>Mejorar la experiencia de los servidores, colaboradores y usuarios del MME a través de la transformación cultural, espacios abiertos y optimización de procesos misionales, digitales y transversales</t>
  </si>
  <si>
    <t>No reportó</t>
  </si>
  <si>
    <t>lpgalindo</t>
  </si>
  <si>
    <t>PA-STH-01</t>
  </si>
  <si>
    <t>Gestionar promover y fortalecer la cultura organizacional potenciando el capital humano del Ministerio de Minas y Energía para cumplir el propósito superior y los valores del Ministerio de Minas y Energía</t>
  </si>
  <si>
    <t>PA-GTIC-01</t>
  </si>
  <si>
    <t>Implementar Soluciones BI para la explotación avanzada de datos</t>
  </si>
  <si>
    <t>cantidad de Soluciones BI implementadas</t>
  </si>
  <si>
    <t>Plan de Seguridad y Privacidad de la Información</t>
  </si>
  <si>
    <t>PA-GTIC-02</t>
  </si>
  <si>
    <t>Liderar los procesos de Inteoperabilidad  inter-sectorial</t>
  </si>
  <si>
    <t>PA-GTIC-03</t>
  </si>
  <si>
    <t>Optimizar el Modelo de Arquitectura Empresarial de TI acorde a la evolución estratégica del Ministerio</t>
  </si>
  <si>
    <t>PA-GTIC-04</t>
  </si>
  <si>
    <t xml:space="preserve">Cumplir lineamientos de Gobierno Digital
</t>
  </si>
  <si>
    <t xml:space="preserve">% lineamientos de Gobierno Digital cumplidos y verificados en furag
</t>
  </si>
  <si>
    <t>PA-GTIC-05</t>
  </si>
  <si>
    <t>Propender por el mejoramiento continuo  de las estrategias. Planes, y proyectos con componente digital a nivel institucional y sectorial.</t>
  </si>
  <si>
    <t>PA-GTIC-06</t>
  </si>
  <si>
    <t xml:space="preserve">Apoyar tecnicamente inciativas de otras dependencias con componente tecnologico y establecer su construcción y despliegue. </t>
  </si>
  <si>
    <t>0,083</t>
  </si>
  <si>
    <t>PA-GTIC-07</t>
  </si>
  <si>
    <t>Garantizar la operación de la infraestructura del Ministerio</t>
  </si>
  <si>
    <t>Se realiza Configuración herramienta de monitoreo de red, atención CAT</t>
  </si>
  <si>
    <t>1. Se realizó la instalación por completo de equipos de cómputo en la sede de archivo central en total 17 equipos.
2. Se inició la instalación de equipos de cómputo en la sede principal del MME, en su totalidad 225 equipos.
2.  Cambio switch y camaras.</t>
  </si>
  <si>
    <t>gamarin</t>
  </si>
  <si>
    <t>PA-GTIC-08</t>
  </si>
  <si>
    <t>Actualizar e Implementar el Modelo de Seguridad y Privacidad de la Información 
Implementar asegurar e innovar el MSPI?</t>
  </si>
  <si>
    <t>Se viene trabajando en levantamiento de necesidades y características  como parte del Levantamiento de requerimientos</t>
  </si>
  <si>
    <t>Se viene trabajando en  la Elaboración de fichas técnicas y estudios previos para sondeo de mercado</t>
  </si>
  <si>
    <t xml:space="preserve">
1. Se recibieron 7 cotizaciones y se realiza el análisis del sondeo de mercado.
2. Estudios previos están en revisión para radicación en la oficina de Contractual y solicitud de CDP.
3. A la espera de documento anexo para la solicitud de CDP.
4. Se recibió el estudio de capacidad financiera con ajustes solicitados por el financiero de contractual, los cuales están siendo ajustados por el abogado del grupo. </t>
  </si>
  <si>
    <t>PA-GUR-01</t>
  </si>
  <si>
    <t>Impulsar el cumplimiento de las metas transformacionales del sector minero energético</t>
  </si>
  <si>
    <t>Diseño y puesta en marcha del esquema de monitoreo, seguimiento y análisis al cumplimiento de las objetivos transformacionales del sector mineroenergético.</t>
  </si>
  <si>
    <t>jfgutierrez</t>
  </si>
  <si>
    <t>PA-OAJ-01</t>
  </si>
  <si>
    <t>Apoyar la reglamentación de temas relacionados con las metas transformacionales del Plan Nacional de Desarrollo</t>
  </si>
  <si>
    <t>Proyectos normativos, regulatorios y legislativos del sector minero energético</t>
  </si>
  <si>
    <t>Durante el mes de abril de 2021   la Oficina Asesora Jurídica, apoyo a las dependencias del MME que lo solicitaron,  en la revisión de catorce  (14) proyectos normativos, regulatorios y legislativos del sector minero energético</t>
  </si>
  <si>
    <t>PA-OAJ-02</t>
  </si>
  <si>
    <t xml:space="preserve">Resoluciones que resuelven solicitudes y recursos de reposición de aplazamiento de fecha de entrada en operación de proyectos sector eléctrico </t>
  </si>
  <si>
    <t>8,33%</t>
  </si>
  <si>
    <t xml:space="preserve">Durante el mes de abril de 2021   la Oficina Asesora Jurídica resolvió siete (7)   solicitudes y recursos de reposición de aplazamiento de fecha de entrada en operación de proyectos sector eléctrico </t>
  </si>
  <si>
    <t>PA-OAJ-03</t>
  </si>
  <si>
    <t xml:space="preserve">Resoluciones Ejecutivas que declara de utilidad pública e interés social proyectos eléctricos y áreas  necesarias para su construcción y protección. </t>
  </si>
  <si>
    <t>Durante el mes de abril de 2021   la Oficina Asesora Jurídica  resolvió ocho (8) solicitudes de declaración de áreas de utilidad pública e interés social proyectos eléctricos y áreas  necesarias para su construcción y protección</t>
  </si>
  <si>
    <t>PA-OAJ-04</t>
  </si>
  <si>
    <t>Conceptuar sobre temas del sector minero energético.</t>
  </si>
  <si>
    <t>Conceptos sobre temas del sector minero-energético emitidos</t>
  </si>
  <si>
    <t>Durante el mes de abril de 2021, la Oficina Asesora Jurídica recibió diez (10) solicitudes de conceptos jurídicos y emitió ocho (8) conceptos jurídicos relacionados con temas del sector minero-energético</t>
  </si>
  <si>
    <t>PA-OAJ-05</t>
  </si>
  <si>
    <t xml:space="preserve">Implementación del Sistema de Información para el seguimiento a los proyectos de transmisión y distribución de energía </t>
  </si>
  <si>
    <t>Sistema de información digital y de levantamiento de datos para seguimiento a los proyectos de transmisión y distribución de energía implementado</t>
  </si>
  <si>
    <t>Programado para junio 2021</t>
  </si>
  <si>
    <t/>
  </si>
  <si>
    <t>PA-OAJ-06</t>
  </si>
  <si>
    <t>Implementar estrategias que reduzcan litigiosidad y generar acciones de litigio de alto impacto</t>
  </si>
  <si>
    <t>Actuaciones procesales y extraprocesales realizadas</t>
  </si>
  <si>
    <t>Durante el mes de marzo de 2021, los Grupo de Defensa y Constitucional la Oficina Asesora Jurídica realizaron ciento dieciocho (118) actuaciones procesales ante los diferentes despachos judiciales</t>
  </si>
  <si>
    <t>PA-OAJ-07</t>
  </si>
  <si>
    <t>Realizar las actuaciones procesales y extraprocesales, mediante la implementación y puesta en marcha de la estrategía del litigio de alto impacto.</t>
  </si>
  <si>
    <t>Tasa de éxito procesal</t>
  </si>
  <si>
    <t>Durante el mes de abril de 2021, los los diferentes despachos judiciales emitieron treinta y siete  (37) fallos favorables a los intereses del MME</t>
  </si>
  <si>
    <t>PA-OAJ-08</t>
  </si>
  <si>
    <t>Diseñar e implementar estrategia integral de colaboración armónica en coordinación con las entidades del sector</t>
  </si>
  <si>
    <t>PA-OAJ-09</t>
  </si>
  <si>
    <t>Adoptar metodologías para la implementación del litigio estratégico.</t>
  </si>
  <si>
    <t xml:space="preserve">Programado cinco (5) para junio y cinco (5) para noviembre </t>
  </si>
  <si>
    <t>PA-OAJ-010</t>
  </si>
  <si>
    <t>Adoptación metodologías para la implementación del litigio estratégico.</t>
  </si>
  <si>
    <t xml:space="preserve">Programado siete (7) para junio y ocho (8) para noviembre </t>
  </si>
  <si>
    <t>PA-OAJ-011</t>
  </si>
  <si>
    <t>Desarrollar acciones para el litigio estratégico en los diferentes procesos que tenga interés el Ministerio de Minas y Energía.</t>
  </si>
  <si>
    <t>Documentos de lineamientos técnicos</t>
  </si>
  <si>
    <t>Cuatro (4) documentos programados para marzo, junio, septiembre y noviembre. En marzo se entregaron 2</t>
  </si>
  <si>
    <t>PA-OAJ-012</t>
  </si>
  <si>
    <t>Revisión y actualización de la documentación de la OAJ en el Sistema de Gestiónde calidad.</t>
  </si>
  <si>
    <t>En elaboración</t>
  </si>
  <si>
    <t>PA-OAJ-013</t>
  </si>
  <si>
    <t>Analizar  la pertinencia para eliminación del trámites de informes de nómina y posible incluisión  en la estrategia de racionalización 2021.</t>
  </si>
  <si>
    <t>Documento análisis trámite informes de nómina</t>
  </si>
  <si>
    <t>ID IND R</t>
  </si>
  <si>
    <t>ID IND P</t>
  </si>
  <si>
    <t>Metas de Producto</t>
  </si>
  <si>
    <t>Indicador
Meta de Producto</t>
  </si>
  <si>
    <t>Responsable de reporte @minenergia</t>
  </si>
  <si>
    <t>Unidad de Medida</t>
  </si>
  <si>
    <t>Evidencias</t>
  </si>
  <si>
    <t>Fechas</t>
  </si>
  <si>
    <t xml:space="preserve">Ejecutado </t>
  </si>
  <si>
    <t>Meta 2021</t>
  </si>
  <si>
    <t>Programación de metas mensuales</t>
  </si>
  <si>
    <t>Proposito</t>
  </si>
  <si>
    <t>Meta Resultado</t>
  </si>
  <si>
    <t>Tipo / medio</t>
  </si>
  <si>
    <t>Ubicación</t>
  </si>
  <si>
    <t>Sumatoría programación</t>
  </si>
  <si>
    <t>PA-COM-01-01</t>
  </si>
  <si>
    <t xml:space="preserve">Número de pulicaciones en medios masivos de comunicacion gestionadas por el grupo de Comunicaciones y Prensa del Ministerio de Minas y Energía.    </t>
  </si>
  <si>
    <t xml:space="preserve">Rondas regionales de medios de comunicación, con voceros oficiales de la entidad </t>
  </si>
  <si>
    <t>Plan de Acción Anual - PAA</t>
  </si>
  <si>
    <t>Ronda</t>
  </si>
  <si>
    <t>Rondas regionales en medios</t>
  </si>
  <si>
    <t>Bogota</t>
  </si>
  <si>
    <t>Entrevistas a los voceros oficiales del ministerio, atraves de medios de comunicación regionoles</t>
  </si>
  <si>
    <t>PA-COM-01-02</t>
  </si>
  <si>
    <t>Minimo una Ronda regional mensual de medios en departamentos estratégicos para proyectos de reactivación sostenible y/o departamentos productores</t>
  </si>
  <si>
    <t>Ronda regional</t>
  </si>
  <si>
    <t>PA-COM-01-03</t>
  </si>
  <si>
    <t xml:space="preserve">Encuentro con lideres de opinion o entrevista en medio nacional  al ministro de Minas y Energia minimo uno al mes </t>
  </si>
  <si>
    <t>Encuentros</t>
  </si>
  <si>
    <t>base de datos de encuentros con lideres de opinion</t>
  </si>
  <si>
    <t>Entrevistas al ministro de Minas y Energia a traves de medios nacionales de comunicación, gestionados desde el Grupo de Comunicaciones y Prensa</t>
  </si>
  <si>
    <t>PA-COM-01-04</t>
  </si>
  <si>
    <t>Elaboracion de Estrategias de comunicación enfocada a proyectos estrategicos del sector minero Energetico (Guajira, Proyectos piloto de investigacion integral, mineria y medidores inteligentes)</t>
  </si>
  <si>
    <t>gvanegas</t>
  </si>
  <si>
    <t>Estrategias elaboradas por el Grupo de Comunicaciones y Prensa del Ministerio de Minas y Energia</t>
  </si>
  <si>
    <t>Identificación de proyectos para la proyección de las estrategias, de acuerdo a su incidencia</t>
  </si>
  <si>
    <t>PA-COM-02-01</t>
  </si>
  <si>
    <t xml:space="preserve">(porcentaje de personas encuestadas que reconocen la efectividad de la comunicación interna para la cohesión de los equipos y para la transferencia de conocimiento.   </t>
  </si>
  <si>
    <t>Desarrollo del programa "Las jugadas del equipo 10"</t>
  </si>
  <si>
    <t>programa</t>
  </si>
  <si>
    <t>Programas presentados a traves de los canales internos de comunicación</t>
  </si>
  <si>
    <t>Se realizó el programa Las Jugadas del equipo 10 el día 28 de enero. En este espacio  se socializararon los resultados de la encuesta de transformación cultural y los hitos de 2021.</t>
  </si>
  <si>
    <t>Teniendo en cuenta que el programa del mes de enero fue presentado a finales de mes, se unificó la información de enero y febrero, ya que en el mes de febrero por temas de agenda del ministro, no fue posible la elaboración del programa</t>
  </si>
  <si>
    <t>Por  temas de Agenda del Ministro, los programas de las Jugadas del Equipo Diez no fue posible su desarrollo en el mes de marzo.</t>
  </si>
  <si>
    <t xml:space="preserve">Por  temas de Agenda del Ministro, los programa se corrió una semana. Se realizó el 3 de mayo. </t>
  </si>
  <si>
    <t>Se realizó el programa Las Jugadas del equipo 10,  el día 20 de  mayo. Edición Súmate 2021.</t>
  </si>
  <si>
    <t>PA-COM-02-02</t>
  </si>
  <si>
    <t>Desarrollo del programas de contenidos en vivo</t>
  </si>
  <si>
    <t>Se realizó la transmisión en vivo de la
Inauguración de paneles solares del Ministerio de Minas y Energía a través de la página de la Presidencia de la República</t>
  </si>
  <si>
    <t>Se realizaron los siguientes programas:
1. Café con la Viceministra de Minas, Sandra Sandoval.
2. Café de piloto de regreso presencial al Ministerio.
3. Facebook live: eficiencia energetica.
4. Facebook live:Colombia se mueve sostenible</t>
  </si>
  <si>
    <t>Se realizó la transmisión en vivo de los programas:
Café con el director de Energia Julian Zuluaga
FB live de carbono neutralidad con Diego Grajales
Youtube Live Lanzamiento Curso E Learning
Enfoque de Genero
FB Live lanzamiento guia empresarial del cambio climatico
FB live hablemos de eficiencia con Julian Zuluaga</t>
  </si>
  <si>
    <t xml:space="preserve">Se realizaron los siguientes programas:
1. Facebook live:Cómo reducir la huella de carbono del sector minero-energético a través de compensaciones ambientales. </t>
  </si>
  <si>
    <t>Se realizó en la Semana de la cultura: 1.Transmisión de Celebración de los 81 años del Ministerio de Minas y Energía. 2. 5 live en la semana de la cultura de diferentes actividades. Todas las transmisiones a través del canal de Youtube del Miinenergía y de Teams.</t>
  </si>
  <si>
    <t>PA-COM-02-03</t>
  </si>
  <si>
    <t>Desarrollo del programa "Empresas que se ponen la 10"</t>
  </si>
  <si>
    <t>Fase de investigación para la selección de las empresas que participarán en nuestro programa "Empresas que se ponen la 10"</t>
  </si>
  <si>
    <t>Durante el mes de febrero se inició la pre-producción de los programas "Empresas que se ponen la 10" con la empresa de energía, Celsia solar</t>
  </si>
  <si>
    <t>Se inicia la grabacion en la empresa Celsia en Cali</t>
  </si>
  <si>
    <t xml:space="preserve">Se realizó la post-producción: edición y  animación del programa de Celsia. El video está listo y se lanzará en el mes de mayo. </t>
  </si>
  <si>
    <t xml:space="preserve">Se tiene ya la historia de Empresa que se ponen la 10, no se ha podido lanzar debido a la seguridad de las instalaciones de Celsia. Se avanza en la pre-producción del cuarto capitulo con Gravillera Albania. </t>
  </si>
  <si>
    <t>PA-COM-03-01</t>
  </si>
  <si>
    <t xml:space="preserve">Impacto de las publicaciones en canales digitales propios del Ministerio   </t>
  </si>
  <si>
    <t>Alcance de las publicaciones difundidas a traves de los canales propios de comunicación del Ministerio</t>
  </si>
  <si>
    <t>jsecheverri</t>
  </si>
  <si>
    <t>Personas</t>
  </si>
  <si>
    <t>Informe de seguimiento de alcance de las publicaciones</t>
  </si>
  <si>
    <t xml:space="preserve">
Diagnóstico de redes y revisión de acciones desarrolladas en 2020</t>
  </si>
  <si>
    <t>Diagnóstico de redes y revisión de acciones desarrolladas en 2020</t>
  </si>
  <si>
    <t>PA-COM-03-02</t>
  </si>
  <si>
    <t>Interacciones en las publicaciones difundidas a traves de los canales propios de comunicación del Ministerio</t>
  </si>
  <si>
    <t>Informe de seguimiento de interacciones de las publicaciones</t>
  </si>
  <si>
    <t>PA-COM-03-03</t>
  </si>
  <si>
    <t>Crecimiento del numero de seguidores en las redes sociales del Ministerio</t>
  </si>
  <si>
    <t>Informe de seguimiento del incremento de los seguidores en las redes sociales del ministerio</t>
  </si>
  <si>
    <t>PA-DEE-01-01</t>
  </si>
  <si>
    <t>Nuevos usuarios con servicio de energia electrica con recursos Publicos</t>
  </si>
  <si>
    <t>Numero de Usarios
Hacer seguimiento mensual a la conexión de nuevos usuarios con servicio de energia electrica mediante los fondos FAZNI, FAER, PTSP y SGR</t>
  </si>
  <si>
    <t>Plan Estratégico Institucional - PEI</t>
  </si>
  <si>
    <t>sisalamanca</t>
  </si>
  <si>
    <t>Archivo en excel-Matriz de usuarios</t>
  </si>
  <si>
    <t>Carpeta compartida</t>
  </si>
  <si>
    <t>No se reportaron usuarios conectados en enero</t>
  </si>
  <si>
    <t xml:space="preserve"> A 28 de febrero del año 2021, se registraron 2.893 nuevos usuarios con servicio de energía eléctrica, financiados con recursos del SGR, distribuidos así: (42) nuevos usuarios, ubicados en el departamento de Bolívar, municipio de Rioviejo; (89) nuevos usuarios, ubicados en el departamento de Boyacá, municipio de Pisba; (94) nuevos usuarios, ubicados en el departamento de Caquetá, municipio de Belén de los Andaquíes; (738) nuevos usuarios, ubicados en el departamento de Casanare, municipio de Yopal; (70) nuevos usuarios, ubicados en el departamento de Casanare, municipio de San Luis de Palenque; (56) nuevos usuarios, ubicados en el departamento de Cauca, municipio de Piamonte; (37) nuevos usuarios, ubicados en el departamento de Cesar, municipio de Astrea; (58) nuevos usuarios, ubicados en el departamento de Córdoba, municipio de Puerto Escondido; (178) nuevos usuarios, ubicados en 13 municipios del departamento de Cundinamarca; (502) nuevos usuarios, ubicados en el departamento de Guaviare, municipio de El Retorno; (70) nuevos usuarios, ubicados en el departamento de La Guajira, municipio de Riohacha; (246) nuevos usuarios, ubicados en el departamento de Meta, municipio de Puerto Gaitán; (176) nuevos usuarios, ubicados en el departamento de Meta, municipio de Puerto Lleras; (391) nuevos usuarios, ubicados en el departamento de Putumayo, municipio de Puerto Leguízamo; (28) nuevos usuarios, ubicados en el departamento de Putumayo, municipio de Valle del Guamuez; (50) nuevos usuarios, ubicados en el departamento de Putumayo, municipio de Orito; (20) nuevos usuarios, ubicados en el departamento de Sucre, municipio de Caimito; (48) nuevos usuarios, ubicados en el departamento de Vaupés, municipio de Carurú”.</t>
  </si>
  <si>
    <t>A 31 de mayo del año 2021, se registraron 2.511 nuevos usuarios con servicio de energía eléctrica, de los cuales fueron financiados con recursos FAZNI: (624) ubicados en el departamento de Vaupés, municipio de Mitú; (321) en el departamento de Nariño, municipio de Tumaco. Los restantes, fueron financiados con recursos del SGR, distribuidos así: (76) nuevos usuarios, ubicados en el departamento de La Guajira, municipio de Albania; (783) nuevos usuarios, ubicados en el departamento de Antioquia, municipio de Yondó; (197) nuevos usuarios, ubicados en el departamento de Huila, municipio de La Plata; (27) nuevos usuarios, ubicados en el municipio de San Vicente del Caguán, (12) nuevos usuarios ubicados en el municipio de Puerto Rico y (1) nuevo usuario ubicado en el municipio de El Doncello, departamento de Caquetá; (64) nuevos usuarios, ubicados en el departamento de Meta, municipio de El Dorado; (137) nuevos usuarios, ubicados en el departamento de Casanare, municipio de Yopal; (75) nuevos usuarios, ubicados en el departamento de Bolívar, municipio de Montecristo;  (186) nuevos usuarios, ubicados en el departamento de Arauca, municipio de Tame;  y (8) nuevos usuarios, ubicados en el departamento de Cesar, municipio de La Gloria.</t>
  </si>
  <si>
    <t>" A 30 de Junio del año 2021, se registraron 896 nuevos usuarios con servicio de energía eléctrica,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municipio de Puerto Concordia y (95) nuevos usuarios ubicados en el municipio de San Carlos de Guaroa, departamento del Meta; (294) nuevos usuarios, ubicados en el municipio de Puerto Guzmán y (35) nuevos usuarios ubicados en el municipio de Puerto Leguízamo, departamento de Putumayo;  y (78) nuevos usuarios, ubicados en el departamento de Sucre, municipio de Ovejas.”</t>
  </si>
  <si>
    <t>PA-DEE-01-02</t>
  </si>
  <si>
    <t xml:space="preserve">Nuevos usuarios con servicio de energia electrica con recursos privados   </t>
  </si>
  <si>
    <t># de usuarios conectados año 2021 con recursos privados</t>
  </si>
  <si>
    <t>Archivo en excel</t>
  </si>
  <si>
    <t>Sin iniciar, se reporte trimestre vencido</t>
  </si>
  <si>
    <t>El reporte es trimestre vencido, por lo tanto es el mismo avance del mes pasado</t>
  </si>
  <si>
    <t>PA-DEE-01-03</t>
  </si>
  <si>
    <t>Nuevos usuarios con recursos asignados FAZNI y FAER   
Usuario 9167</t>
  </si>
  <si>
    <t>Gestionar la estructuración y viabilización  de proyectos de acceso a la energia electrica para beneficiar nuevos usuarios con servicio  en las zonas rurale - Proyectos aprobados para comité</t>
  </si>
  <si>
    <t>Proyectos radicados por IPSE y UPME ante el Ministerio</t>
  </si>
  <si>
    <t>Pagina web</t>
  </si>
  <si>
    <t>Se realizaron reuniones con  IPSE y UPME para revisar los proyectos que estaban en fase de estructuración y viabilización</t>
  </si>
  <si>
    <t>IPSE radico un proyecto en el MME., desde la dirección de energía se realizaron las observaciones e IPSE envió las respuestas a las observaciones,</t>
  </si>
  <si>
    <t>en el mes de abril se radico un proyecto en el municipio de Uribia, Guajira de 4.009 usuarios por valor de $72.121.173.279, de los cuales $57.121.173.279 seran financiados por el fondo FAZNI</t>
  </si>
  <si>
    <t>No se han radicadoproyectos de UPME</t>
  </si>
  <si>
    <t>PA-DEE-01-04</t>
  </si>
  <si>
    <t>Preparar y realizar comités para asignar recursos a proyectos de electrificación -Actas de comité</t>
  </si>
  <si>
    <t>Acta comité</t>
  </si>
  <si>
    <t>Sin iniciar</t>
  </si>
  <si>
    <t xml:space="preserve"> se realizo la presentación para el comité y se cito a comité</t>
  </si>
  <si>
    <t>En marzo se realizo el comité CAFAZNI 80 en el cual se asignaron recursos a 104 usuarios por valor de $1.902.641.458 en el municipio de Zambrano, Bolívar. Acta de comité: https://www.minenergia.gov.co/documents/10192/24286203/ACTA+CAFAZNI+80.pdf</t>
  </si>
  <si>
    <t xml:space="preserve"> El 23 de junio se celebro el CAFAZNI 81, por otro lado, el acta de comité esta en revisión por parte de la OAJ y se proyecta publicar en Julio. En el proceso de preparación de vigencias futuras, se solicito turno a planeación, el documento justificación esta en elaboración y están iniciando el proceso de preparación para la solicitud de CDP.</t>
  </si>
  <si>
    <t>Nuevos usuarios con  FAZNI y FAER  - Compromisos recursos 
Usuario 9167</t>
  </si>
  <si>
    <t>Matriz con numero de contratos firmados</t>
  </si>
  <si>
    <t>Sharepoint</t>
  </si>
  <si>
    <t>PA-DEE-04-01</t>
  </si>
  <si>
    <t xml:space="preserve">Usuarios beneficiados en comité PRONE    </t>
  </si>
  <si>
    <t>Preparar y realizar convocatoria - Prone</t>
  </si>
  <si>
    <t>Publicación convocatoria</t>
  </si>
  <si>
    <t xml:space="preserve"> La actividad "Publicar Resolución Convocatoria y anexos" y "Recepción de Documentos" inicio el 26 de abril hasta el 10 de mayo.</t>
  </si>
  <si>
    <t>convocatoria PRONE publicada el 26 de abril hasta el  10 de mayo con la  Resolución 40131 del 26 de abril de 2021</t>
  </si>
  <si>
    <t>Finalizada. convocatoria PRONE publicada el 26 de abril hasta el  10 de mayo con la  Resolución 40131 del 26 de abril de 2021</t>
  </si>
  <si>
    <t>PA-DEE-04-02</t>
  </si>
  <si>
    <t xml:space="preserve"> Asignar recursos a proyectos de normalización de redes mediante comité</t>
  </si>
  <si>
    <t>Acta de comité</t>
  </si>
  <si>
    <t xml:space="preserve">Se recibieron proyectos que equivalente a  $ 138,931,547,956 36.190 y 36.190 usuarios. Estos proyectos se encuentran en revisión </t>
  </si>
  <si>
    <t xml:space="preserve"> El 23 de junio se celebro el CAPRONE. Actualmente el acta de comité se encuentra en revisión por parte de la OAJ y se proyecta publicar la semana del 6 de julio. El proceso de preparación de vigencias futuras, el equipo esta en proceso de finalización de la justificación y preparando la información para inicial proceso de solicitud de CDP por el sistema.</t>
  </si>
  <si>
    <t>PA-DEE-04-03</t>
  </si>
  <si>
    <t>Comprometer recursos asignados en comité</t>
  </si>
  <si>
    <t>PA-DEE-05-01</t>
  </si>
  <si>
    <t xml:space="preserve">% de avance mecanismos de universalización   </t>
  </si>
  <si>
    <t>Realizar documentos de analisis y recomendaciones para la puesta en operación del delta tarifario</t>
  </si>
  <si>
    <t>Docmento analisis delta tarifario</t>
  </si>
  <si>
    <t>Archivo compartido</t>
  </si>
  <si>
    <t xml:space="preserve">Se hizo presentación del resultado del documento del PCOR al viceministro </t>
  </si>
  <si>
    <t>LA actividad presenta un avance del 50% de ejecució, CREG hizo la primera simulación, a inicios del proximo mes se enviara la información solicitada por ellos.</t>
  </si>
  <si>
    <t>Documento de analisis se encuentra culminado</t>
  </si>
  <si>
    <t>Actividad finalizada</t>
  </si>
  <si>
    <t>PA-DEE-05-02</t>
  </si>
  <si>
    <t>Elaborar borrador de resolución delta tarifario</t>
  </si>
  <si>
    <t>Publicación de resolucion a comentarios</t>
  </si>
  <si>
    <t>Pagina Web</t>
  </si>
  <si>
    <t>El borrador de la resolución del delta tarifario se encuentra publicado para comentarios hasta el 8 de mayo</t>
  </si>
  <si>
    <t>el borrador de la resolución se encuentra en proceso de socialización a los diferentes interesados</t>
  </si>
  <si>
    <t>PA-DEE-05-03</t>
  </si>
  <si>
    <t>Expedir resolución delta tarifario</t>
  </si>
  <si>
    <t>Resolución expedida</t>
  </si>
  <si>
    <t>Se publica en el mes de junio</t>
  </si>
  <si>
    <t>Delta tarifario: Resolución 40172 del 3 de junio de 2021</t>
  </si>
  <si>
    <t>PA-DEE-05-04</t>
  </si>
  <si>
    <t>Aprobación borrador resolución redes logisticas</t>
  </si>
  <si>
    <t>Resolución aprobada</t>
  </si>
  <si>
    <t>Borrador de resolución y memoria justificactiva revisado y aprobado.
Se publico a comentarios</t>
  </si>
  <si>
    <t>En el mes de febrero la resolución estuvo en proceso de recepción de comentarios y  el equipo se encuentra respondiendo los comentarios</t>
  </si>
  <si>
    <t>Borrador aprobado</t>
  </si>
  <si>
    <t>Finalizado</t>
  </si>
  <si>
    <t>PA-DEE-05-05</t>
  </si>
  <si>
    <t>Publicación resolución redes logisticas</t>
  </si>
  <si>
    <t>Resolución publicada</t>
  </si>
  <si>
    <t>PA-DEE-05-06</t>
  </si>
  <si>
    <t>Expedir resolución redes logisticas</t>
  </si>
  <si>
    <t>Resolución expedida el 25 de marzo.</t>
  </si>
  <si>
    <t>Resolución Número 40094 de marzo 25 de 2021</t>
  </si>
  <si>
    <t>Finalizado: Resolución Número 40094 de marzo 25 de 2021</t>
  </si>
  <si>
    <t>PA-DEE-06-01</t>
  </si>
  <si>
    <t xml:space="preserve">% de avance en la sistematización de los procesos  de administración de subsidios del sector electrico   </t>
  </si>
  <si>
    <t>Cargue del segundo trimestre 2021 en SISEG al 80% en número de empresas por fondo</t>
  </si>
  <si>
    <t>Aplicativo en producción y cargue de archivo por empresas</t>
  </si>
  <si>
    <t>SISEG</t>
  </si>
  <si>
    <t>Se retomó el trabajo con las empresas prestadoras del servicio, respecto a las pruebas operativas en los módulos de registro, cargue y reporte. Este trabajo inicio en el mes de diciembre del 2020 pero dadas las obligaciones de fin de año y que las empresas prestadoras no contaban con disponibilidad durante todo el mes, el trabajo quedo incompleto. Se espera reiniciar fase de pruebas con las E.S.P. en la semana del 8 de marzo.
Se estableció un cronograma y plan de trabajo por parte de la Dirección de Energía el cual fue socializado con el grupo TICS y se está adaptando a la nueva metodología de trabajo que está implementando el grupo (Metodología SCRUM), adicionalmente, y dado que hay un nuevo responsable del proyecto en el área de TICS, así como la inclusión de nuevos funcionarios del equipo de desarrollo, se han realizado sesiones de capacitación y conocimiento general y detallado del sistema, las cuales han sido lideradas por la DEE.
Se estableció la 3ra Bitácora con los requerimientos y errores que se encontraron en las sesiones de pruebas con las empresas prestadoras del servicio, de la cual se generó un archivo resumen y se estableció el Excel correspondiente el cual arrojo 21 requerimientos, los mismos fueron socializados en una sesión de trabajo conjunto y una vez establecida la necesidad, el equipo TICS se distribuyó el trabajo entre los profesionales disponibles. Se tendrá una primera sesión de revisión a las soluciones de los requerimientos en la semana del 8 de marzo.
Se han trabajado en 3 sesiones para la definición de requerimientos del módulo de Distribución de recursos en el Sistema Interconectado Nacional – SIN. Está pendiente una última sesión para que el grupo TICS tenga todas las bases para el desarrollo.</t>
  </si>
  <si>
    <t>Sin iniciar se proyecta inicio en junio</t>
  </si>
  <si>
    <t>PA-DEE-06-02</t>
  </si>
  <si>
    <t>Información historica y estructurada lista para el cargue en SISEG</t>
  </si>
  <si>
    <t>Información historica en SISEG</t>
  </si>
  <si>
    <t>Servidor-SISEG</t>
  </si>
  <si>
    <t>Avance real 0%.Proceso sin Iniciar.</t>
  </si>
  <si>
    <t xml:space="preserve">Se ejecuto la actividad definición proceso de cargue y actualmente se encuentra en ejecución la actividad Descarga de Información Base de Datos Actual, en donde se descargo la información inicial de la base de datos actual. </t>
  </si>
  <si>
    <t>Finalizo la actividad descarga de información</t>
  </si>
  <si>
    <t xml:space="preserve">
No se reporta avance en el mes de junio.</t>
  </si>
  <si>
    <t>PA-DEE-06-03</t>
  </si>
  <si>
    <t>Desarrollo y ajuste al modulo de reportes para visualizar la base de datos</t>
  </si>
  <si>
    <t>Reporte datos historicos</t>
  </si>
  <si>
    <t>Avance real 23%Desde el grupo de subsidios se realizo la actividad revisión estado de módulos, durante la revisión se identifico que no están todos, por lo tanto actualmente Tics se encuentra solucionando este requerimiento. Actualmente el equipo se encuentra en ejecutando la actividad "definición de la necesidad", en donde están definiendo cuales son los formatos que sirven y cuales se necesitan adicionalmente. Se proyecta fecha de finalización 12 de abril.</t>
  </si>
  <si>
    <t>El equipo continua trabajando en la actividad "definición de la necesidad", en donde están definiendo cuales son los formatos que sirven y cuales se necesitan adicionalmente</t>
  </si>
  <si>
    <t>Finalizo la actividad definición de la necesidad e inicio el desarrollo y modificación de módulos.</t>
  </si>
  <si>
    <t>Durante el mes de junio se trabajo en las actividades de Desarrollo y modificación de los módulos y pruebas operativas, las cuales llevan un avance el 80% y proyectan finalizar a mediados de julio.</t>
  </si>
  <si>
    <t>PA-DEE-06-04</t>
  </si>
  <si>
    <t>Modulo de distribución</t>
  </si>
  <si>
    <t>Modulo de distibución</t>
  </si>
  <si>
    <t>Se han realizado varias reuniones con TICS, el cual ya presento un primer modelo, el cuál esta planeado que inicie pruebas operativas a mediados de abril.</t>
  </si>
  <si>
    <t>Tics presento un nuevo avance en el modulo, pero no se ha presentado el modulo completo para realizar pruebas</t>
  </si>
  <si>
    <t>Finalizo la actividad desarrollo y modificación de los módulos.</t>
  </si>
  <si>
    <t>No se reporta avance en el mes de junio.</t>
  </si>
  <si>
    <t>PA-DEE-06-05</t>
  </si>
  <si>
    <t>Modulo de proyecciones</t>
  </si>
  <si>
    <t>Sin iniciar. En el grupo se replanteo el cronograma y la fecha de inicio es del 8 de junio al 31 de agosto.</t>
  </si>
  <si>
    <t>PA-DEE-08-01</t>
  </si>
  <si>
    <t xml:space="preserve">% de avance en la actualización de reglamentos técnicos DEE   </t>
  </si>
  <si>
    <t>Expedir la resolución del nuevo Reglamento Técnico de Instalaciones Eléctricas - RETIE</t>
  </si>
  <si>
    <t>orojas</t>
  </si>
  <si>
    <t>Resolución reglamento RETIE</t>
  </si>
  <si>
    <t>pagina web</t>
  </si>
  <si>
    <t>•	Se adelanto cronograma de medición de avance del borrador del documento de actualización del Reglamento.
•	Se elaboro tema de requisitos de canalizaciones para instalaciones eléctrica, el grupo esta adelantando la metodología para poder recibir comentarios de los expertos respecto de este tema.
•	Se adelanto revisión de informes finales de practicantes sobre: requisitos para estaciones de carga de vehículos eléctrico, instalaciones especiales, instalaciones áreas alta concentración de personas y requisitos de productos con FNCE.</t>
  </si>
  <si>
    <t>El cronograma presenta 8% de avance, Finalizo la actividad clavijas y tomacorriente y actualmente estan trabajando en las actividades: Clasificación de las instalaciones e instalaciones eléctricas en minas y esquema de certificación de personas.</t>
  </si>
  <si>
    <t>El avance real en las actividades en ejecución es el siguiente:
LIBRO 1- DISPOSICIONES GENERALES: Avance Real: 61%, cumpliendo con el avance planeado establecido,
LIBRO 2- EVALUACIÓN DELA CONFORMIDAD Avance real: 28%
LIBRO 3-PRODUCTOS: Avance real: 32%
LIBRO 4-INSTALACIONES: Avance real 1%</t>
  </si>
  <si>
    <t>En el mes de mayo se trabajo significativamente en el libro de productos, los cuales han sido enviado para comentarios a los diferentes expertos como universidades, ANDI, camara colombiana de energia, entre otros, y de esta manera ajustar los resultados.
El avance real en las actividades en ejecución es el siguiente:
LIBRO 1- DISPOSICIONES GENERALES: Avance Real: 61%
LIBRO 2- EVALUACIÓN DELA CONFORMIDAD Avance real: 71%
LIBRO 3-PRODUCTOS: Avance real: 66%
LIBRO 4-INSTALACIONES: Avance real 20%</t>
  </si>
  <si>
    <t xml:space="preserve"> En el mes de junio se trabajo significativamente en el libro de productos, el cual esta en etapa de finalización y el equipo esta trabajando en el tema de instalaciones</t>
  </si>
  <si>
    <t>PA-DEE-08-02</t>
  </si>
  <si>
    <t>Expedir  resolución del Reglamento Técnico de iluminación y Alumbrado Publico - RETILAP</t>
  </si>
  <si>
    <t>Resolución reglamento RETILAP</t>
  </si>
  <si>
    <t>•	Se adelanto revisión de informes finales de practicantes sobre lámparas incidentes y productos LED.
•	El grupo continúa estructurando la elaboración del cronograma de medición de avance del borrador del documento de actualización del Reglamento.
•	El Grupo de Reglamentos Técnicos formulo y presento ante el FENOGE el proyecto de inversión “ SOLICITUD DE FINANCIACIÓN NO REEMBOLSABLE PARA ASISTENCIA TÉCNICA AL GRUPO DE REGLAMENTOS TÉCNICOS DE LA DIRECCIÓN DE ENERGÍA ELÉCTRICA DEL MINISTERIO DE MINAS Y ENERGÍA, ENFOCADA EN LA GESTIÓN EFICIENTE DE LA ENERGÍA” , con el cual se busca contratar una consultoría para que elaboren un documento que sirva de insumo para elaborar el anteproyecto del Reglamento en especial en temas relacionados con eficiencia energética.
•	El Grupo de Reglamentos Técnicos junto con el FONOGE se encuentran adelantando el documento “sondeo de mercado”, como parte del proceso de selección de la consultoría de expertos.</t>
  </si>
  <si>
    <t xml:space="preserve">El cronograma presenta un avance del 12%La ejecución de actividades se concentro en las fases objeto y general y sistemas de iluminación. </t>
  </si>
  <si>
    <t xml:space="preserve">Presenta un avance real de 19%, La ejecución de actividades se concentro en las fases objeto y general y sistemas de iluminación. </t>
  </si>
  <si>
    <t>El cronograma presenta un avance real del 47% . En el mes de mayo se avanzo significativamente en el libro de generalidades, el cual fue enviado para observaciones a las diferentes agremiaciones, universidades, etc.,
El avance real en las actividades en ejecución es el siguiente:
LIBRO 1: ASPECTOS GENERALES: Avance real: 93%
LIBRO 2 – DISEÑO DE INSTALACIONES DE ILUMINACIÓN: Avance real 43%
LIBRO 3 – PRODUCTOS DE ILUMINACIÓN: Avance real 43%
LIBRO 4 – EVALUACIÓN DE LA CONFORMIDAD: Avance real 36%</t>
  </si>
  <si>
    <t>En el mes de junio se avanzo significativamente en el Libro de Instalaciones, en el libro de producto se está revisando normatividad exigible a cada producto. En el libro de conformidad hace falta trabajar en la sección de certificación de personas y los procedimientos de mediciones (tanto para interior como para AP)</t>
  </si>
  <si>
    <t>PA-DEE-08-03</t>
  </si>
  <si>
    <t>Expedir resolución del Reglamento Técnico de Sistemas e Instalaciones Térmicas - RETSIT</t>
  </si>
  <si>
    <t>Resolución reglamento RETSIT</t>
  </si>
  <si>
    <t>•	Se adelantaron las mesas de estudio junto con la SCI, ACIEM y ACAIRE, sobre el tema: “climatización de edificios”.
•	Se construyo cronograma de elaboración del Reglamento, alineado con las etapas de buenas prácticas reglamentarias, indicadas por MinCit.
•	Se continua con la elaboración del documento borrador del reglamento.</t>
  </si>
  <si>
    <t>El cronograma presenta un avance real de 27% sin atrasos en el cronograma.El avance real en las actividades en ejecución es el siguiente:Elaboración del documento borrador para comentarios: Avance real 75%. Se realizaron las tareas de creación de grupos focales y grupos de estudios y continúan en ejecución las tareas de elaboración del documento con un avance del 70%.</t>
  </si>
  <si>
    <t xml:space="preserve">El avance real en las actividades en ejecución es el siguiente:
Elaboración del documento borrador para comentarios: Avance real 87%. Continúan en ejecución las tareas de elaboración del documento, resultado de grupos focales y grupos de estudios. </t>
  </si>
  <si>
    <t>El cronograma presenta un avance real de 36%.
El avance real en las actividades en ejecución es el siguiente:
Elaboración del documento borrador para comentarios: Avance real 99%. Finalizaron las actividades de creación y resultado de grupos focales y creación y resultado de grupo de estudios. Actualmente la actividad avance de documento tiene un avance real del 95% y se proyecto que termine a principios de junio.</t>
  </si>
  <si>
    <t xml:space="preserve">durante este mes no se reporto avance, debido a que la UTO, contrato una consultoría de expertos para la revisión del documento. Se proyecta que esta actividad finalice a mediados del mes de julio. </t>
  </si>
  <si>
    <t>PA-DEE-08-04</t>
  </si>
  <si>
    <t>Expedir  documento analisis de imapcto normativo Reglamento técnico de etiquetado - RETIQ</t>
  </si>
  <si>
    <t>Documento de analisis</t>
  </si>
  <si>
    <t>•	Se elaboro borrador y memoria justificativa del proyecto de resolución "Por la cual se aclaran condiciones de exigibilidad del etiquetado de algunos requisitos establecidos en el Anexo General del Reglamento Técnico de Etiquetado – RETIQ". Esta Resolución fue presentada ante la Comisión Asesora de Reglamentos Técnicos el día 25 de febrero.
•	La anterior Resolución fue puesta a consulta ciudadana con fecha de inicio 5 de marzo de 2021 hasta 20 de marzo de 2021.
•	El Grupo de Reglamentos Técnicos formulo y presento ante el FENOGE el proyecto de inversión “SOLICITUD DE FINANCIACIÓN NO REEMBOLSABLE PARA ASISTENCIA TÉCNICA AL GRUPO DE REGLAMENTOS TÉCNICOS DE LA DIRECCIÓN DE ENERGÍA ELÉCTRICA DEL MINISTERIO DE MINAS Y ENERGÍA, ENFOCADA EN LA GESTIÓN EFICIENTE DE LA ENERGÍA”, con el cual se busca contratar una consultoría para que elaboren un documento que sirva de insumo para elaborar el AIN Expost del Reglamento. 
•	El Grupo de Reglamentos Técnicos junto con el FONOGE se encuentran adelantando el documento “sondeo de mercado”, como parte del proceso de selección de la consultoría de expertos.</t>
  </si>
  <si>
    <t>El cronograma no presenta un avance real de 9% sin atrasos en el cronograma.
El avance real en las fases que se encuentran en ejecución es el siguiente:Resolución pendientes RETIQ: Avance real 97%, que actualmente esta finalizando la actividad "Documento borrador Resolución y atención comentarios de la OAJ para firma Ministro", la cual fue enviada a OAJ para revisión y observaciones y se proyecta que este finalizada el 31 de marzo.Consultoría AIN expost: Avance real: 2%. Actualmente se encuentra en ejecución la actividad "Apoyo FENOGE elaboración estudios previos" en donde, la remisión de borrador de estudio de mercado se envió a FENOGE el 26 de febrero y están a la espera de que FENOGE publique el estudio de mercado.</t>
  </si>
  <si>
    <t>Resolución pendientes RETIQ: Avance real 100%. La resolución fue expedida el 26 de marzo. Resolución 40099 del 26 de marzo de 2021.
Consultoría AIN expost:  Actualmente se encuentra en ejecución la actividad "Apoyo FENOGE elaboración estudios previos" en donde, se realizo la remisión de borrador de estudio de mercado y borrador de estudios previos. Esta fase se encuentra en reprogramación.</t>
  </si>
  <si>
    <t>El cronograma presenta un avance real de 19% .
Resolución pendientes RETIQ: Avance real 100%. La resolución fue expedida el 26 de marzo. Resolución 40099 del 26 de marzo de 2021.
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</si>
  <si>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 xml:space="preserve"> Durante el mes de junio no se reporto avance, debido a que la actividad "Apoyo selección a la consultoría" la cual ejecuta FENOGE, presenta demoras en la entrega del estudio de mercado.</t>
  </si>
  <si>
    <t xml:space="preserve"> PA-DEE-01-05</t>
  </si>
  <si>
    <t xml:space="preserve">Nuevos usuarios con recursos asignados FAZNI y FAER </t>
  </si>
  <si>
    <t>Nuevos usuarios con servicio de energía eléctrica en municipios PDET (DEE)</t>
  </si>
  <si>
    <t>SIIPO</t>
  </si>
  <si>
    <t>Con corte a marzo de 2021 se han conectado 1.447 nuevos usuarios en municipios PDET con energía eléctrica con recursos Sistema General de Regalías.</t>
  </si>
  <si>
    <t>" A 30 de abril del año 2021, se registraron 1606 nuevos usuarios con servicio de energía eléctrica en municipios PDET, de los cuales fueron financiados con recursos FAER: (250) ubicados en el departamento de Sucre, municipio de Ovejas; (124) en el departamento de Meta, municipio de Vistahermosa. Los restantes, fueron financiados con recursos del SGR, distribuidos así: (36) nuevos usuarios, ubicados en el departamento de Sucre, municipio de Ovejas; (75) nuevos usuarios, ubicados en el departamento de Nariño, municipio de Policarpa; (579) nuevos usuarios, ubicados en el departamento de Córdoba, municipio de Montelíbano; (115) nuevos usuarios, ubicados en el departamento de Guaviare, municipio de El Retorno; (95) nuevos usuarios, ubicados en el departamento de Nariño, municipio de El Charco; y (332) nuevos usuarios, ubicados en el departamento de Córdoba, municipio de Puerto Libertador.”</t>
  </si>
  <si>
    <t>El avance real en las fases que se encuentran en ejecución es el siguiente:</t>
  </si>
  <si>
    <t>" A 30 de Junio del año 2021, se registraron 801 nuevos usuarios con servicio de energía eléctrica ubicados en municipios PDET, los cuales fueron financiados con recursos del SGR, distribuidos así: (198) nuevos usuarios, ubicados en el departamento de Antioquia, municipio de Vigía del Fuerte; (84) nuevos usuarios, ubicados en el departamento de Caquetá, municipio de El Doncello; (112) nuevos usuarios, ubicados en el departamento del Meta, municipio de Puerto Concordia; (294) nuevos usuarios, ubicados en el municipio de Puerto Guzmán y (35) nuevos usuarios ubicados en el municipio de Puerto Leguízamo, departamento de Putumayo;  y (78) nuevos usuarios, ubicados en el departamento de Sucre, municipio de Ovejas.”</t>
  </si>
  <si>
    <t>PA-DEE-05-07</t>
  </si>
  <si>
    <t xml:space="preserve">Nueva infraestructura energética para comercio internacional </t>
  </si>
  <si>
    <t>SINERGÍA</t>
  </si>
  <si>
    <t>mecanismo</t>
  </si>
  <si>
    <t>La interconexión con Panamá se viene manejando desde las agendas interministeriales, el refuerzo de la interconexión con Ecuador presenta avance en la estructuración de los TDR para el análisis operativo. Para la regasificadora del pacífico se publicaron los términos de referencia para la adjudicación, se espera adjudicar el tercer trimestre del 2021</t>
  </si>
  <si>
    <t>Resolución pendientes RETIQ: Avance real 100%. La resolución fue expedida el 26 de marzo. Resolución 40099 del 26 de marzo de 2021.</t>
  </si>
  <si>
    <t xml:space="preserve"> PA-DEE-01-06</t>
  </si>
  <si>
    <t>Usuarios beneficiados con programas de eficiencia energética 
FENOGE</t>
  </si>
  <si>
    <t>Durante el mes de abril de 2021, se registraron 395 nuevos usuarios con programas de eficiencia energética de la siguiente manera: 213 nuevos usuarios beneficiados con programas de eficiencia energética mediante el proyecto “Usuarios beneficiados con la sustitución de neveras, A.A. y Bombillas”. Adicionalmente, se registraron 182 nuevos usuarios beneficiados con el proyecto “Caribe Eficiente”</t>
  </si>
  <si>
    <t>Consultoría AIN expost: Avance real: 19%. Actualmente se encuentra en ejecución la actividad "Apoyo FENOGE elaboración estudios previos" con un avance del 88%, en donde el FENOGE se encuentra en la definición de los TCC. Adicionalmente se tomo la decisión de cancelar la actividad "Resultado del informe de estándares técnicos RETILAP - FENOGE".</t>
  </si>
  <si>
    <t>335 nuevos usuarios beneficiados con programa de eficiencia energética </t>
  </si>
  <si>
    <t>PA-DEE-09-01</t>
  </si>
  <si>
    <t xml:space="preserve">Promedio de la duración de interrupciones del servicio de energía eléctrica al año </t>
  </si>
  <si>
    <t>Matriz</t>
  </si>
  <si>
    <t>Durante el mes de abril, se estuvieron discutiendo los parámetros de medición para el indicador y se estuvo a la espera del reporte de la Superintendencia de Servicios Públicos y Domiciliaros - SSPD sobre el dato definitivo correspondiente a 2020.</t>
  </si>
  <si>
    <t>Pendiente confirmación de DNP sobre el filtro a valores atípicos</t>
  </si>
  <si>
    <t>PA-DEE-09-02</t>
  </si>
  <si>
    <t>Promedio de la cantidad de interrupciones del servicio de energía eléctrica al año</t>
  </si>
  <si>
    <t>Durante el mes de abril, se estuvieron discutiendo los parámetros de medición para el indicador y se estuvo a la espera del reporte de la Superintendencia de Servicios Públicos y Domiciliaros - SSPD sobre el dato definitivo correspondiente a 2020</t>
  </si>
  <si>
    <t>PA-DFM-01-01</t>
  </si>
  <si>
    <t xml:space="preserve">Desarrollar la implementación de los lineamientos de fomento minero a través de una red de prestadores de servicios.   </t>
  </si>
  <si>
    <t>Memorandos de entendimiento firmados en los departamentos priorizados</t>
  </si>
  <si>
    <t>ajarias@minenergia.gov.co</t>
  </si>
  <si>
    <t>Numero</t>
  </si>
  <si>
    <t>Documentos</t>
  </si>
  <si>
    <t>drive DFM</t>
  </si>
  <si>
    <t>Se remitieron a la OAJ los memorandos de Caldas, Cundinamarca y Boyacá (Semana del 28 de febrero), sin respuesta aún.
La Gobernación de Antioquia se encuentra revisando el memorando con su equipo jurídico.</t>
  </si>
  <si>
    <t>A la espera de que la alta dirección defina fecha para la firma de los memorandos de entendimiento de Boyacá, Cundinamarca y Antioquia (los cuales ya se encuentran con VoBo de la OAJ).</t>
  </si>
  <si>
    <t>A la espera de que la alta dirección defina fecha para la firma de los memorandos de entendimiento de Boyacá y Cundinamarca (los cuales ya se encuentran con VoBo de la OAJ).
Firmados los departamentos de Antioquia y Caldas.</t>
  </si>
  <si>
    <t>PA-DFM-01-02</t>
  </si>
  <si>
    <t>Numero de planes de acción aprobados</t>
  </si>
  <si>
    <t>Se tienen los borradores para los departamentos de Caldas, Cundinamarca y Boyacá, los cuales están siendo retroalimentados por los responsables del desarrollo de las actividades.</t>
  </si>
  <si>
    <t>Los planes de acción de los departamentos de Caldas, Cundinamarca y Boyacá se encuentran en validación de las partes interesadas. Para el departamento de Antioquia se cuenta con la versión inicial la cual esta en proceso de retroalimentación.</t>
  </si>
  <si>
    <t>Se cuenta con los planes de acción de los departamentos de Caldas, Boyacá, Antioquia y Cundinamarca. Se esta trabajando con el equipo de Chocó en el borrador del plan de acción para este departamento.</t>
  </si>
  <si>
    <t>Se esta trabajando con el equipo de Chocó en el borrador del plan de acción para este departamento. Los demás departamentos priorizados cuentan con plan de acción elaborado y aprobado.</t>
  </si>
  <si>
    <t xml:space="preserve">Se encuentran aprobados y en ejecución los planes de acción para los departamentos de Boyacá, Caldas, Cundinamarca y Antioquia. </t>
  </si>
  <si>
    <t>PA-DFM-01-03</t>
  </si>
  <si>
    <t>Redes de servicios de apoyo para el fomento minero creadas en los departamentos priorizados</t>
  </si>
  <si>
    <t>Documentos, informes</t>
  </si>
  <si>
    <t>Se tienen identificadas las redes de los 4 departamentos en los cuales se van a desarrollar los pilotos de Fomento Minero, actualmente se estan llevando a cabo reuniones con los diferentes actores para continuar el proceso de identificación de aliados.</t>
  </si>
  <si>
    <t>Las redes de prestadores de servicios para el fomento minero ya se encuentran definidas para los departamentos de Caldas, Boyacá, Antioquia y Cundinamarca. Se esta trabajando con comunicaciones y prensa para hacerlas oficiales a través de la pagina web del ministerio, ANM y las respectivas gobernaciones.</t>
  </si>
  <si>
    <t>Las redes de prestadores de servicios para el fomento minero ya se encuentran definidas para los departamentos de Caldas, Boyacá, Antioquia y Cundinamarca.</t>
  </si>
  <si>
    <t>PA-DFM-01-04</t>
  </si>
  <si>
    <t xml:space="preserve">Porcentaje del esquema operativo del ecosistema de fomento diseñado y aprobado. (Procesos, procedimientos, metricas, metodologias, documentos, etc) </t>
  </si>
  <si>
    <t>Se cuenta con la estructura del proceso para la atención al minero y para la prestación de servicios</t>
  </si>
  <si>
    <t>Se documento el proceso de acercamiento a los entes territoriales de cara a la firma de un memorando de entendimiento, se adelantan ejercicios asociados a formatos y fichas dentro del proceso de acercamiento a la red de servicios.</t>
  </si>
  <si>
    <t>Se cuenta con la documentación de 2 procesos identificados para la implementación de lineamientos de fomento minero, se estan desarrollando los formatos para recopilar información para realizar los esquemas de seguimiento y control.</t>
  </si>
  <si>
    <t>Se presentó esquema de procesos y procedimientos a los miembros del ecosistema para oferta de servicios por demanda.</t>
  </si>
  <si>
    <t>PA-DFM-01-05</t>
  </si>
  <si>
    <t>Servicios del portafolio diseñados</t>
  </si>
  <si>
    <t>Se encuentra en proceso de validación el formato para el diseño de servicios, así mismo se están identificando los servicios para priorizar su diseño.</t>
  </si>
  <si>
    <t>no se registro avance en esta actividad</t>
  </si>
  <si>
    <t xml:space="preserve"> Se estan actualizando los elementos de caracterización y diseño del servicio. Con el BID se esta trabajando en la lógica del Miner's Journey.</t>
  </si>
  <si>
    <t>Se esta adelantando la consolidación de la información del portafolio de servicios por cada linea estrategica, adicionalmente, se desarrolla una depuración de servicios.</t>
  </si>
  <si>
    <t>Se tiene el listado de los nuevos servicios a priorizar, adicionalmente se tienen identificados los servicios disponibles orientados al fortalecimiento de habilidades y competencias que harán parte del portafolio.</t>
  </si>
  <si>
    <t>PA-DFM-01-06</t>
  </si>
  <si>
    <t>Propuesta de arreglo institucional de fomento minero elaborada</t>
  </si>
  <si>
    <t>A través del BID se está adelantando la fase 2 de la consultoria para el modelo de fomento minero, en donde ya se tiene la propuesta inicial con el ajuste institucional que contiene módulo normativo y mecanismo de financiación.</t>
  </si>
  <si>
    <t xml:space="preserve">A la espera del entregable por parte del BID como resultado de la consultoria. </t>
  </si>
  <si>
    <t>La consultoria radicó el dia 03/05 los entregables 2 y 3, los cuales serán revisados por el equipo para su retroalimentación.</t>
  </si>
  <si>
    <t>Se adelanto una jornada con el equipo de la consultoria BID, para comunicar comentarios yu observaciones sobre la propuesta de arreglo institucional y se esta a la espera de agenda de la viceministra para la presentación de resultados finales.</t>
  </si>
  <si>
    <t xml:space="preserve">Se presentó a la VM la propuesta de socios para CAMINA, se esta gestionando el acercamiento con dichos socios para socializar el arreglo institucional. </t>
  </si>
  <si>
    <t>PA-DFM-01-07</t>
  </si>
  <si>
    <t>Proyectos presentados a través de la convocatoria oro-chatarra evaluados.</t>
  </si>
  <si>
    <t>aframos@minenergia.gov.co</t>
  </si>
  <si>
    <t>Drive DFM</t>
  </si>
  <si>
    <t xml:space="preserve">Se realizó la evaluación inicial de los 15 proyectos presentados, de los cuales se requirieron 9.
</t>
  </si>
  <si>
    <t xml:space="preserve"> 8 proyectos de los requeridos, presentaron la información solicitada. 
A la fecha se encuentran con concepto técnico de evaluación 5 proyectos correspondientes a los CDM de Bolivar, Caldas, Cundinamarca, Antioquia, Guajira.</t>
  </si>
  <si>
    <t>Se realizo la evaluación de 15 proyectos de los cuales 6 proyectos cumplieron con los requisitos para la asignación de recursos por un valor de 36.692 millones de pesos por regalias.</t>
  </si>
  <si>
    <t>De acuerdo al cronograma establecido en la convocatoria Res 40356 de 2020, el 30 de abril se publicó resolución de adjudicación de recursos para 6 proyecto de fomento minero, beneficiando a los departamentos de Antioquia, Caldas, Cundinamarca y Bolívar.</t>
  </si>
  <si>
    <t>PA-DFM-01-08</t>
  </si>
  <si>
    <t>Proyectos gestionados para acceder a recursos del sistema general de regalias</t>
  </si>
  <si>
    <t>Se gestionó un proyecto tipo para plantas de beneficio comunitarias para mineral aurífero, el cual se encuentra en la etapa de aprobación por parte de DNP</t>
  </si>
  <si>
    <t>Proyecto en revisión y ajustes por parte de DNP y DFM.</t>
  </si>
  <si>
    <t>Se esta trabajando en la identificación de proyectos formulados para el sector minero, con el fin de aprovechar la asignación de 280 mil millones de incentivo a la producción y la nueva convocatoria porr 94 mil millones. Se cuenta con la base de datos del banco de proyectos de Mincomercio.</t>
  </si>
  <si>
    <t>Se esta trabajando en la identificación de proyectos formulados para el sector minero, acompañando la socialización del grupo de gestión ejecución estratégica del sector extactivo de manera presencial en los departamentos que concentran la mayor producción de minerales.</t>
  </si>
  <si>
    <t>Se tiene el documento de convocatoria para incentivo a la producción, el cual fue presentado a la alta dirección, quien dio el aval para continuar el ejercicio con la comisión rectora. De otra parte, se cuenta con la aprobación por parte de la DIFP del proyecto tipo para plantas de beneficio de mineral aurífero comunitarias, el cual sera socializado a los entes territoriales una vez publicado en la pagina del DNP.</t>
  </si>
  <si>
    <t>PA-DFM-01-09</t>
  </si>
  <si>
    <t>Modelo de negocio minero en Chocó implementado</t>
  </si>
  <si>
    <t>Se han adelantado las gestiones necesarias para dar inicio a la implementación.</t>
  </si>
  <si>
    <t>Se realizó la primera semana marzo 9-10. la Mesa Técnica donde se expuso los ajustes del Documento de acuerdo a los requerimientos del mes de diciembre.  Se tiene prevista una agenda de validación del modelo con empresas Exploradoras para los dias 7,8,9 de abril.</t>
  </si>
  <si>
    <t>Desde los componentes técnicos, jurídicos, ambientales, mineros y sociales, se seleccionó la propuesta piloto donde se va a implementar el modelo de negocio minero para el departamento del Chocó. Pendiente Mesa técnica con los 11 líderes comunitarios delegados que hacen parte del equipo de chocó.</t>
  </si>
  <si>
    <t>Se solicito espacio autónomo por parte de los delegados de los consejos comunitarios del Departamento del Chocó  para evaluar propuestas expuesta por el Ministerio</t>
  </si>
  <si>
    <t>Se tiene planeado la realización de unas actividades presenciales los días:  7, 8 y 9 de julio de 2021. en la cuales se Conformará  Comités Conciliadores de Redacción para cada uno de los componentes que integran el Documento "Guía de Relacionamiento para las Comunidades Negras"  con el propósito de realizar las revisiones y ajustes particulares de contenido que se requiere. Adicionalmente se realizará una jornada de socialización con potenciales inversionistas del Modelo de Negocio, buscando la generación de diálogo para conocer intereses de inversión y alianzas comerciales en el desarrollo del Negocio Minero con comunidades negras</t>
  </si>
  <si>
    <t>PA-DFM-01-10</t>
  </si>
  <si>
    <t>Seguimientos realizados  a la implementación del Modelo</t>
  </si>
  <si>
    <t>fchamorro@minenergia.gov.co</t>
  </si>
  <si>
    <t>Documento, Listados de Asistencia, Memorias</t>
  </si>
  <si>
    <t>x</t>
  </si>
  <si>
    <t>Se han adelantado las gestiones necesarias para dar inicio a la implementación. Este reporte se desarrollara en el marco de la implementación del modelo.</t>
  </si>
  <si>
    <t>Se definió plan de trabajo para la implementación del modelo.</t>
  </si>
  <si>
    <t>Se tiene previsto una reunión virtual para el 20/05/2021 con el propósito de presentar la propuesta de piloto seleccionado al equipo de Chocó.</t>
  </si>
  <si>
    <t>Se está acordando desplazamiento del equipo de chocó a region, lo anterior se tiene planificado para el día 18 de Junio</t>
  </si>
  <si>
    <t xml:space="preserve"> 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</si>
  <si>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PA-DFM-01-11</t>
  </si>
  <si>
    <t xml:space="preserve">Evaluación realizadas sobre las  generalidades en la implementacion del modelo </t>
  </si>
  <si>
    <t>Se adelanta la planificación de la implementación.</t>
  </si>
  <si>
    <t>A la fecha nos encontramos en la estructuración de la propuesta para la implementación del modelo.</t>
  </si>
  <si>
    <t>A la fecha se encuentra revisando la propuesta los consejos comunitarios par indicar el paso a seguir debido a que no estuvieron de acuerdo con la propuesta inicial del modelo</t>
  </si>
  <si>
    <t>hasta tanto no se realice la jornada establecida para los dÍas 7, 8 y 9 de Julio, no se  podrá iniciar con la implementación del Modelo, dado que se debe contar con la validación de los lideres representantes de las comunidades negras que hacen parte de las comunidades del Chocó.</t>
  </si>
  <si>
    <t>PA-DFM-01-12</t>
  </si>
  <si>
    <t>Porcentaje de avance en asesorías técnicas y jurídica a 5 consejos comunitarios  en relación con alianzas empresariales para el desarrollo de proyectos mineros a solicitud de los mismos. (SINERGIA NARP 2021)</t>
  </si>
  <si>
    <t>X</t>
  </si>
  <si>
    <t>Se adelanta fase de alistamiento, una vez validado el modelo se iniciarán las actividades correspondientes al avance del indicador.</t>
  </si>
  <si>
    <t>Una vez validado el modelo del piloto se iniciará las actividades correspondiente al avance del indicador.</t>
  </si>
  <si>
    <t>Ya se tiene la propuesta pero no se ha iniciado las asesorías en territorio hasta q sea validada por los delegados de la mese de diálogo permanente</t>
  </si>
  <si>
    <t>PA-DFM-02-01</t>
  </si>
  <si>
    <t xml:space="preserve">Mecanismo de seguimiento, monitoreo, control y evaluación a lineamientos de política   </t>
  </si>
  <si>
    <t>Mesas de trabajo con interesados para la recopilación de requisitos, lecciones aprendidas y recomendaciones para el diseño de la herramienta.</t>
  </si>
  <si>
    <t>arocha@minenergia.gov.co</t>
  </si>
  <si>
    <t>Listas de asistencia, documentos, informes</t>
  </si>
  <si>
    <t>De las 10 mesas programadas ya se han llevado a cabo 2, con funcionarios con experiencia en formulación e implementación de políticas públicas de las direcciones de formalización minera y empresarial.</t>
  </si>
  <si>
    <t>Se desarrollaron 10 mesas con interesados en total y se realizo la definición del alcance.</t>
  </si>
  <si>
    <t>PA-DFM-02-02</t>
  </si>
  <si>
    <t>Mecanismo diseñado</t>
  </si>
  <si>
    <t>Documentos, Informes</t>
  </si>
  <si>
    <t>Se dió inicio al desarrollo de mesas con partes interesadas con el fin de delimitar el alcance de la consultoría para el diseño de la herramienta</t>
  </si>
  <si>
    <t xml:space="preserve">Se esta adelantantando la gestión del alcance para el diseño de la herramienta desde el componente funcional y no funcional. </t>
  </si>
  <si>
    <t xml:space="preserve">Se propusieron al grupo TIC los resultados de las mesas para la evaluación de requerimientos de cara al diseño de la herramienta. </t>
  </si>
  <si>
    <t>El grupo de infraestructura tecnológica realizo la selección del software a ser adquirido, se presentó cronograma para el analisis de requerimientos de la herramienta.</t>
  </si>
  <si>
    <t>Se está parametrizando la herrramienta aportada por el grupo de infraestructura y se están evaluando entre el consultor y el grupo de infraestructura, los requisitos de la DFM adicionales para la herramienta.</t>
  </si>
  <si>
    <t>PA-DFM-03-01</t>
  </si>
  <si>
    <t xml:space="preserve">Adoptar e implementar el Plan estratégico sectorial fase II para el cumplimiento del convenio de minamata.   </t>
  </si>
  <si>
    <t>Socialización del plan propuesto al interior de las instituciones del sector minero</t>
  </si>
  <si>
    <t>lfpolania@minenergia.gov.co</t>
  </si>
  <si>
    <t>Se realizó 1 jornada de socialización virtual, a través de la cual se presentó el plan a la UPME, así mismo se adelantó reunión con la asesora jurídica de la Dirección para definir aportes desde el marco normativo, así como el mecanismo de adopción del plan.
Adicionalmente, a través de diferentes escenarios se realizó el mismo ejercicio con el SGC, ANM, Gob de Antioquia, DME y los equipos internos de la dirección (Regularización y Subsistencia), a la espera de culminar el ejercicio con Nohora Ordoñez y la OAAS.</t>
  </si>
  <si>
    <t xml:space="preserve">Se socializó el plan con la OAAS y con el equipo de Nohora Ordoñez donde se sugirió la inclusión de acciones adelantadas por el observatorio ambiental y huella minera. </t>
  </si>
  <si>
    <t xml:space="preserve">Se envió el plan a las entidades y se estan recibiendo comentarios y observaciones. </t>
  </si>
  <si>
    <t>El plan fue socializado a las entidades adscritas, las cuales dieron su VoBo para ser presentado a la alta dirección.</t>
  </si>
  <si>
    <t>PA-DFM-03-02</t>
  </si>
  <si>
    <t>Adopción del plan mediante acto administrativo</t>
  </si>
  <si>
    <t>documento</t>
  </si>
  <si>
    <t>Será publicado y adoptado una vez se cuente con el VoBo de cada entidad reponsable.</t>
  </si>
  <si>
    <t>Ya se cuenta con el VoBo de  las entidades reponsables, a la espera de agenda para presentación a la alta dirección y posterior publicación.</t>
  </si>
  <si>
    <t>PA-DFM-03-03</t>
  </si>
  <si>
    <t>Numero de escenarios de socialización del plan realizados con interesados.</t>
  </si>
  <si>
    <t>Una vez se adopte el plan se procederá a realizar el ejercicio de socialización con las partes interesadas (Entidades del sector, ministerios que hacer parte del plan único, Cars y entes de control)</t>
  </si>
  <si>
    <t>Será socializado una vez sea adoptado el plan.</t>
  </si>
  <si>
    <t>Será socializado una vez sea avalado por la alta dirección.</t>
  </si>
  <si>
    <t>PA-DFM-03-04</t>
  </si>
  <si>
    <t>Porcentaje de implementación de las acciones del plan año 1</t>
  </si>
  <si>
    <t>Una vez se adopte el plan de dará inicio al ejercicio de seguimiento a la implemetación del mismo.</t>
  </si>
  <si>
    <t>Una vez se adopte el plan se dará inicio al ejercicio de seguimiento a la implemetación del mismo.</t>
  </si>
  <si>
    <t>Una vez se adopte el plan de dará inicio al ejercicio de seguimiento a la implemetación del mismo, sin embargo se resalta que las actividades que contiene dicho plan se han desarrollado de conformidad con lo planeado por cada una de las entidades responsables.</t>
  </si>
  <si>
    <t>PA-DFM-03-05</t>
  </si>
  <si>
    <t>Piloto de remediación para recuperación de mercurio en relaves con oro residual desarrollado</t>
  </si>
  <si>
    <t>Una vez culmine la fase de levantamiento de información, se adelantará el proceso de contratación para el piloto</t>
  </si>
  <si>
    <t>Una vez se cuente con los informes finales aportados por PureEarth &amp; PNUD a finales de abril, se procederá con la estructuración de los terminos de referencia del piloto.</t>
  </si>
  <si>
    <t>Se adelantará el proceso de contratación para el piloto una vez surta el piloto de aprovechamiento de colas mineras.</t>
  </si>
  <si>
    <t>Se adelantará el proceso de contratación para el piloto una vez se cuente con los resultados del piloto de caracterización de colas mineras, el cual permitirá definir el sitio donde se va a llevar a cabo el piloto de remediación.</t>
  </si>
  <si>
    <t>PA-DFM-04-01</t>
  </si>
  <si>
    <t xml:space="preserve">Política de minería de subsistencia adoptada y con fuentes de financiamiento identificadas   </t>
  </si>
  <si>
    <t xml:space="preserve">Plan de  socialización y consulta implementado  con comunidades e interesados  para adoptar la política de minería de subsistencia </t>
  </si>
  <si>
    <t>vchamat</t>
  </si>
  <si>
    <t xml:space="preserve">cantidad </t>
  </si>
  <si>
    <t xml:space="preserve">listados de asistencia, memorias de reuniones, </t>
  </si>
  <si>
    <t xml:space="preserve">Se cuenta con documento propuesto de política en revisión para inicio de consulta </t>
  </si>
  <si>
    <t xml:space="preserve">Inicio de fase de socialización con dependencias y profesionales del viceministerio de minas. </t>
  </si>
  <si>
    <t xml:space="preserve">No se registra avance de la actividad. </t>
  </si>
  <si>
    <t xml:space="preserve">Se adelantaron dos socializaciones en los Departamentos de Santander - Huila. </t>
  </si>
  <si>
    <t>PA-DFM-04-02</t>
  </si>
  <si>
    <t xml:space="preserve">Acto administrativo de adopción de la política de minería de subsistencia </t>
  </si>
  <si>
    <t>acto administrativo de adopción</t>
  </si>
  <si>
    <t xml:space="preserve">Depende del cumplimiento de la actividad socialización para la adopción de la política </t>
  </si>
  <si>
    <t xml:space="preserve">Depende del cumplimiento de la actividad socialización para la adopción de la política . </t>
  </si>
  <si>
    <t>NO se reporta avance de la actividad</t>
  </si>
  <si>
    <t xml:space="preserve">Se tiene borrador de resolución y se remitió a la OAJ.  </t>
  </si>
  <si>
    <t>PA-DFM-04-03</t>
  </si>
  <si>
    <t xml:space="preserve">Proyecto de inversión formulado para implementar la política de minería de subsistencia </t>
  </si>
  <si>
    <t xml:space="preserve">documento proyecto </t>
  </si>
  <si>
    <t xml:space="preserve">No se registra avance actividad programada para el mes de abril </t>
  </si>
  <si>
    <t xml:space="preserve">Se cuenta con propuesta de arbol de problema y objetivos para la formulación del proyecto </t>
  </si>
  <si>
    <t xml:space="preserve">Se remitió a Planeación la MGA y el documento justificativo de un proyecto de inversión para minería de subsistencia, mismo que ha sido ajustado de acuerdo con las observaciones de dicha oficina. A la espera de presentación a DNP. </t>
  </si>
  <si>
    <t xml:space="preserve">Se hizo la remisión del proyecto debidamente carado en MGA y SUIFP a Planeación Nacional. A la espera de observaciones. </t>
  </si>
  <si>
    <t>Proyecto en estado registrado actualizado.</t>
  </si>
  <si>
    <t xml:space="preserve">Proyecto en estado registrado actualizado. </t>
  </si>
  <si>
    <t>PA-DFM-04-04</t>
  </si>
  <si>
    <t xml:space="preserve">Documento gestión de fuentes de financiamiento </t>
  </si>
  <si>
    <t>Documento gestión de fuentes de financimiento</t>
  </si>
  <si>
    <t xml:space="preserve">No se registra avance actividad programada para el mes de mayo </t>
  </si>
  <si>
    <t xml:space="preserve">No se registra avance físico de la actividad sin embargo se están explorando opciones por fuentes de cooperación para el apalancamiento de las acciones de minería de subsistencia y puesta en marcha de la política. </t>
  </si>
  <si>
    <t xml:space="preserve">Se cuenta con gestiones de fondos por parte de cooperación internacional y proyecto de inversión en estado registrado actualizado.  </t>
  </si>
  <si>
    <t xml:space="preserve">Se cuenta con gestiones de fondos por parte de cooperación internacional y proyecto de inversión en estado registrado actualizado. </t>
  </si>
  <si>
    <t>PA-DFM-04-05</t>
  </si>
  <si>
    <t>Propuesta de gestión de estériles de esmeraldas  elaborada</t>
  </si>
  <si>
    <t xml:space="preserve">Cantidad </t>
  </si>
  <si>
    <t>Se cuenta con plan de trabajo enfocado en el occidente de Boyacá que incluye la actividad de gestión de estériles.</t>
  </si>
  <si>
    <t xml:space="preserve">Revisión de normatividad aplicable a la gestión de estériles y características de la operación para el sector esmeraldero de occidente de Boyacá. </t>
  </si>
  <si>
    <t xml:space="preserve">Jornadas de trabajo para recolección de insumos para formulación de propuesta de reglamentación. Se cuenta con un artículo propuesta para presentación a los actores interesados. </t>
  </si>
  <si>
    <t xml:space="preserve">Jornadas de trabajo para recolección de insumos para formulación de propuesta de reglamentación. </t>
  </si>
  <si>
    <t xml:space="preserve">Se cuenta con artículo para aprovechamiento secundario en curso de debates en el Congreso  </t>
  </si>
  <si>
    <t>Se cuenta con artículo para aprovechamiento secundario en curso de debates en el Congreso.</t>
  </si>
  <si>
    <t>PA-DFM-04-06</t>
  </si>
  <si>
    <t xml:space="preserve">Postulación de mineria de subsitencia como patrimonio inmaterial (solicitud)  </t>
  </si>
  <si>
    <t>listados de asistencia, memorias de reuniones, documento</t>
  </si>
  <si>
    <t xml:space="preserve">Se cuenta con documento de postulación ajustado a las necesidades del MME - En revisión informal por parte de MINCULTURA para su posterior radicación oficial. </t>
  </si>
  <si>
    <t>Propuesta remitida y radicada en Mincultura</t>
  </si>
  <si>
    <t xml:space="preserve">Propuesta remitida y radicada en Mincultura bajo el No. </t>
  </si>
  <si>
    <t>Postulación cumplida</t>
  </si>
  <si>
    <t>PA-DFM-04-07</t>
  </si>
  <si>
    <t>Concepto de viabilidad gestionado con MINCULTURA</t>
  </si>
  <si>
    <t xml:space="preserve">Se hizo la presentación de la solicitud de declaratoria al Comité Técnico de Patrimonio el 27 de abril, como resultado este órgano dió concepto favorable a la iniciativa la cual será remitida al Consejo Nacional de Patrimonio. </t>
  </si>
  <si>
    <t>Concepto de viabilidad remitido por MINCULTURA</t>
  </si>
  <si>
    <t>Concepto de viabilidad recibido por parte de MINCULTURA</t>
  </si>
  <si>
    <t>PA-DFM-04-08</t>
  </si>
  <si>
    <t>Gestión de financiamiento elaboración del plan de salvaguarda.</t>
  </si>
  <si>
    <t>No se registra avance actividad programada para el mes de julio</t>
  </si>
  <si>
    <t>Reunión con GDIAM para establecer presupuesto y plan de actividades.</t>
  </si>
  <si>
    <t>PA-DFM-04-09</t>
  </si>
  <si>
    <t>Elaboarción plan de salvaguarda iniciado</t>
  </si>
  <si>
    <t>No se registra avance actividad programada para el mes de octubre</t>
  </si>
  <si>
    <t>No se registra avance de esta actividad</t>
  </si>
  <si>
    <t>PA-DFM-04-10</t>
  </si>
  <si>
    <t xml:space="preserve">Plan de acción de sensibilización y socialización sistema de registro de mineros de subsistencia concertado con la autoridad minera </t>
  </si>
  <si>
    <t>cantidad</t>
  </si>
  <si>
    <t xml:space="preserve">Documento </t>
  </si>
  <si>
    <t xml:space="preserve">Se cuenta con cronograma de socializaciones y sensibilización del sistema de registro de mineros de subsistencia, el cual ha sido concertado con la ANM </t>
  </si>
  <si>
    <t>Cumplido.</t>
  </si>
  <si>
    <t>PA-DFM-04-11</t>
  </si>
  <si>
    <t>Metodologías para el fortalecimiento en la asesoria/orientación/capacitación sobre el debido ejercicio de la minería de subsistencia desarrolladas.</t>
  </si>
  <si>
    <t>Documento metodológico en elaboración</t>
  </si>
  <si>
    <t xml:space="preserve">Documento metodológico elaborado, se cuenta con pilotaje para el Departamento del Cauca - Popayán. </t>
  </si>
  <si>
    <t xml:space="preserve">Se elaboró ABC sobre minería de subsistencia como herramienta para difundir los aspectos técnicos y legales de la minería de subsistencia. </t>
  </si>
  <si>
    <t>Documento metodológico en ajustes</t>
  </si>
  <si>
    <t>Documento elaborado</t>
  </si>
  <si>
    <t>PA-DFM-04-12</t>
  </si>
  <si>
    <t xml:space="preserve">Jornadas de capacitación sobre aspectos de minería de subsistencia y registro en génesis </t>
  </si>
  <si>
    <t>Listados de asistencia, memorias de reuniones</t>
  </si>
  <si>
    <t xml:space="preserve">Se adelantó 1 jornada de capacitación el día 26 de marzo del 2021. 32 funcionarios de 26 municipios de los Departamentos de Antioquia y Quindío. </t>
  </si>
  <si>
    <t>A la fecha se han llevado tres sesiones virtuales de capacitación con un total de 117 funcionarios de 62 Municipios de los Departamentos de Antioquia, Cauca, Caldas, Boyacá, Risaralda Quindio.</t>
  </si>
  <si>
    <t xml:space="preserve">A la fecha se han capacitado 130 funcionarios de 79 municipios. </t>
  </si>
  <si>
    <t xml:space="preserve"> A  la fecha se han capacitado 115 funcionarios de 87 alcaldías de 12 Departamentos. </t>
  </si>
  <si>
    <t>PA-DFM-04-13</t>
  </si>
  <si>
    <t xml:space="preserve">Jornadas de acompañamiento en región para trámite de inscripción de mineros de subsistencia </t>
  </si>
  <si>
    <t>listados de asistencia, memorias de reuniones</t>
  </si>
  <si>
    <t xml:space="preserve">NO se registra avance de la actividad. </t>
  </si>
  <si>
    <t xml:space="preserve">Se adelantó jornada en Algeciras, Neiva, Campoablegre y Rivera (Huila) </t>
  </si>
  <si>
    <t>PA-DFM-05-01</t>
  </si>
  <si>
    <t xml:space="preserve">Política nacional de seguridad minera actualizada y adoptada   </t>
  </si>
  <si>
    <t>Documento de análisis de brechas y aspectos a considerar en la actualización de la política de seguridad minera a partir de la evaluación realizada  de actual política elaborado.</t>
  </si>
  <si>
    <t>maacevedo</t>
  </si>
  <si>
    <t>Informe, listados de asistencia, actas de aprobación</t>
  </si>
  <si>
    <t xml:space="preserve">Documento análisis de brechas en materia de seguridad elaborado. En proceso de divulgación. </t>
  </si>
  <si>
    <t>Se cuenta con documento análisis de brechas, lineas estratégicas y diseño de talleres de actualización de política.</t>
  </si>
  <si>
    <t>Documento elaborado en proceso de comentarios y talleres de actualización</t>
  </si>
  <si>
    <t>PA-DFM-05-02</t>
  </si>
  <si>
    <t xml:space="preserve">jornadas de construcción de actualización de política nacional de seguridad minera </t>
  </si>
  <si>
    <t>Informe, listados de asistencia, evidencias de actividades, registros fotográficos</t>
  </si>
  <si>
    <t xml:space="preserve">Se cuenta con plan de trabajo para inicio de las jornadas de construcción. </t>
  </si>
  <si>
    <t xml:space="preserve"> Se cuenta con propuesta metodológica para los talleres de actualización de la política, identificación de nuevas brechas y estrategias de cierre de las mismas. </t>
  </si>
  <si>
    <t xml:space="preserve">Se adelantó primer taller con grupos regionales de gestión preventiva. </t>
  </si>
  <si>
    <t>PA-DFM-05-03</t>
  </si>
  <si>
    <t xml:space="preserve">Documento propuesta de actualización de política nacional de  seguridad minera </t>
  </si>
  <si>
    <t xml:space="preserve">documento </t>
  </si>
  <si>
    <t xml:space="preserve">No se registra avance de la actividad.  </t>
  </si>
  <si>
    <t>No se registra avance de la actividad</t>
  </si>
  <si>
    <t>PA-DFM-05-04</t>
  </si>
  <si>
    <t>Jornadas de socialización de propuesta de actualización de  política nacional de seguridad minera</t>
  </si>
  <si>
    <t>PA-DFM-05-05</t>
  </si>
  <si>
    <t>Acto administrativo de adopción de actualizaciónde política nacional de seguridad minera</t>
  </si>
  <si>
    <t>NO se registra avance de la actividad</t>
  </si>
  <si>
    <t>PA-DFM-05-06</t>
  </si>
  <si>
    <t xml:space="preserve">Planes de trabajo de grupos de gestión preventiva en seguridad minera con cumplimineto superior al 80% </t>
  </si>
  <si>
    <t xml:space="preserve">Se adelantó encuentro de grupos regionales de gestión preventiva, con participación de 14 de los 15 grupos creados.  Se establecieron lineas generales de trabajo y principales apuestas. </t>
  </si>
  <si>
    <t>Se avanza en la aprobación de los planes de trabajo en los departamentos que cuentan con grupos regionales de gestión preventiva en seguridad minera.</t>
  </si>
  <si>
    <t>Se reitera la solicitud de modificación de la fecha de finalización del indicador por cuanto este se culmina a diciembre 31 del 2021. La redacción del mismo indica que se cumple a partir de todo el trabajo de la presente anualidad.
Se avanza en la aprobación de los planes de trabajo en los departamentos que cuentan con grupos regionales de gestión preventiva en seguridad minera.</t>
  </si>
  <si>
    <t>PA-DFM-05-07</t>
  </si>
  <si>
    <t>Informe de avance ejecución de planes de trabajo de grupos regionales</t>
  </si>
  <si>
    <t xml:space="preserve">Informes de avance en elaboración teniendo en cuenta que varios planes fueron aprobados hasta el mes de mayo. </t>
  </si>
  <si>
    <t>PA-DFM-06-01</t>
  </si>
  <si>
    <t xml:space="preserve">Numero de nuevos mineros en la legalidad   </t>
  </si>
  <si>
    <t>Planes de acción en articulación con entes territoriales, autoridad minera y ambiental formulados</t>
  </si>
  <si>
    <t>Documentos, Ayudas de Memoria, Lista de  asistencia</t>
  </si>
  <si>
    <t>Se tienen Estructurados los Planes de Acción de Caldas, Chocó, Santander de Quilachao, Boyacá,Antioquia, para revisisón</t>
  </si>
  <si>
    <t>Se adelantaron planes de acción en los municipios de Anza, Mallama, Samaniego, Andes Sotomayor.</t>
  </si>
  <si>
    <t>Se adelantaron planes de Acción en Norte de Santander, Nechí (Antioquia), Mallama (Nariño), Toluviejo (Sucre).</t>
  </si>
  <si>
    <t>PA-DFM-06-02</t>
  </si>
  <si>
    <t>Seguimiento a planes de acción.</t>
  </si>
  <si>
    <t>Se realizón una reunión de seguimiento y ajustes al Plan de Acción de Caldas.</t>
  </si>
  <si>
    <t xml:space="preserve">Se realizó seguimiento a planes de acción. Pasos del seguimiento.  1. Diligenciamiento deL formato de Reporte semanal que se encuentra en linea. 2 los avances de compromisos se encuentran descritos en la matriz de compromisos aterritorio. </t>
  </si>
  <si>
    <t>Se realiza verificación semanal y reunión quincenal  de seguimiento a la matriz de compromisos generados en el marco de los planes de acción y la actualización de la misma matriz.</t>
  </si>
  <si>
    <t>Se realiza verificación mensual se crea una matriz de excel como soporte para el pago de cada contratista. Para el mes de Julio se realizará mesa de trabajo con cada uno de los responsables del plan de accion.</t>
  </si>
  <si>
    <t>PA-DFM-06-03</t>
  </si>
  <si>
    <t>Reglamentar áreas estrategicas para la formalización</t>
  </si>
  <si>
    <t>Se realizó en el interior de la Dirección análisis juridico del Tema el cual fue presentado a la Directora</t>
  </si>
  <si>
    <t>A la fecha no se ha determinado la viabilidad de reglamentar áreas estratégicas para la formalización</t>
  </si>
  <si>
    <t>Se está estructurando un plan de acción en articulación con la vicepresidencia de Fomento y Promoción de la Agencia Nacional de Minería con el propósito de reglamentar  y materializar la norma en 3 pilotos propuestos por el Ministerio de Minas y Energía</t>
  </si>
  <si>
    <t>A la fecha se encuentra en el mismo estado con referencia a la reglamentación</t>
  </si>
  <si>
    <t>Se realizó analisis técnico y validacion de superposiciones de procesos de formalizacion vigentes que se encontraran sobre las áreas estratégicas, los cuales serviran como documento técnico para la definición de las áreas y el trámite que haga la Agencia Nacional de Minería</t>
  </si>
  <si>
    <t>PA-DFM-06-04</t>
  </si>
  <si>
    <t>Pilotear áreas estrategicas para la formalización</t>
  </si>
  <si>
    <t>Se contruyó el plan de legalidad a corto, mediano y largo plazo; Nos encontramos en la construcción de la estrategia para implementación del mismo.</t>
  </si>
  <si>
    <t>A la espera para el acceso al visor de EVOA.</t>
  </si>
  <si>
    <t>Se realizó el proceso de visualización de áreas libres en los cuales se evidencia explotación ilícita  de oro aluvial, posterior a esto se socializó al equipo y se compartió la distribución de dichas áreas en los departamentos y municipios de su presencia, a la fecha el grupo de legalidad se encuentra a la espera  de la habilitación del visor de Evoa con el fin de ser mas precisos y extraer la información necesaria para implementar el plan de Evoa en el cual se contarán a las alcaldías con el fin de indentificar los puntos y las personas  que trabajan allí y buscar la posibilidad de que hagan parte del ejercicio de formalización y puedan iniciar su tránsito a la Legalidad  y poder seguir identificando áreas adicionales a las incluidas en los pilotos.</t>
  </si>
  <si>
    <t>se encuentra construyendo ruta con las alcaldías que tienen presencias en áreas libres identificadas por EVOA, a la fecha se inició la articulación en  los departamentos de Cauca y Córdoba.</t>
  </si>
  <si>
    <t>Se han identificado áreas libres derivadas del rechazo de 365 solicitudes de formalización para minería tradicional  ( ART 325)</t>
  </si>
  <si>
    <t>PA-DFM-06-05</t>
  </si>
  <si>
    <t>procesos de regularización ambiental  acompañados</t>
  </si>
  <si>
    <t>Fase pre-contractual de 6 Convenios Interadministrativos para rl acompañamiento a la regularización Minero- Ambiental.</t>
  </si>
  <si>
    <t>En etapa precontractual de los convenios</t>
  </si>
  <si>
    <t>A la fecha se encuentra en la evaluación de los sondeos de mercado , para la contratación y la verificación de valores asignados a los mismos con el fin de establecer diálogos y acuerdos con las diferentes universidades que encaminen lo mas pronto a la suscripcion de los convenios</t>
  </si>
  <si>
    <t>Se radicó ayer la comunicación a GGC con los documentos precontractuales de la UFPS ajustados a lo solicitados por dicha oficina, El día de hoy compartiremos los Ep de Nacional y Boyaca para la última revisión incluyendo los aportes hechos por el GGC,para que una vez cintemos con Cdp remitir al GGC</t>
  </si>
  <si>
    <t>A la fecha se tiene pendiente el comite de contratación los convenios de la Universidad Nacional y UPTC, adicionalmente se encuentra a la espera de la posesión del nuevo rector de la universidad UFPS para la firma del convenio interadministrativo.</t>
  </si>
  <si>
    <t>PA-DFM-06-06</t>
  </si>
  <si>
    <t xml:space="preserve">Número de convenios/contratos  realizados </t>
  </si>
  <si>
    <t>A la fecha 6 convenios se encuentran en la etapa de sondeos de mercado, en revisión por parte del componente financiero del grupo de gestion contractual.</t>
  </si>
  <si>
    <t xml:space="preserve"> Se presentaran las gestiones asociadas al indicador una vez se realice la firma de los Contratos / convenios del indicador anterior.</t>
  </si>
  <si>
    <t>Se radicó memorando con Documentos precontractuales incluidos los ajustes solicitados por el GGC para el convenio con la UFPS, fue aprobada la modificación al PAE y está en tramite la solicitud de CDP para los convenios de la Univeridas Nacional y UPTC. Se cuenta con documentos precontractuales para Nacional y UPTC</t>
  </si>
  <si>
    <t>A la fecha se cuenta con 3 convenios en fase precontractual.</t>
  </si>
  <si>
    <t>PA-DFM-06-07</t>
  </si>
  <si>
    <t>Numero de informes de seguimientos</t>
  </si>
  <si>
    <t>Depende de la actividad anterior</t>
  </si>
  <si>
    <t>Se presentaran las gestiones asociadas al indicador una vez se realice la firma de los Contratos / convenios del indicador anterior.</t>
  </si>
  <si>
    <t>El presente item depende de la actividad anterior.</t>
  </si>
  <si>
    <t xml:space="preserve"> El presente item depende de la actividad anterior.</t>
  </si>
  <si>
    <t>PA-DFM-06-08</t>
  </si>
  <si>
    <t>Informe para el control al alcance de los convenios/contratos</t>
  </si>
  <si>
    <t>PA-DFM-06-09</t>
  </si>
  <si>
    <t>Establecer planes de trabajo con CAR (Lic. temporal y diferencial pequeña mineria)</t>
  </si>
  <si>
    <t>Nos encontramos realizando la gestión ante Minambiente de levantar los terminos de suspensión por consiguiente se remitio un correo el dia 04/03/2021 direccionado a dicha entidad  el cual contenia la justificación del levantamiento de la suspensión de los efectos contenidos en la Resolución No. 669 de 2020 para dar aplicación a lo establecido en la Resolución No. 0448 de 2020, en el cual se identificó los procesos en tránsito a la legalidad (Legalizaciones, Subcontratos de Formalización Minera, Devolución de Áreas para la Formalización y Áreas de Reserva Especial) que requieren efectuar el trámite de licenciamiento ambiental temporal; las legalizaciones del articulo 325 PND, que cuentan con viabilidad técnica de la Agencia Nacional de Minería –ANM- las cuales procederán a radicar la licencia ambiental Global o Definitiva y las solicitudes de licenciamiento ambiental por parte de los pequeños mineros ante las Corporaciones Autónomas Regionales y que se encuentran a la espera de la evaluación y acto administrativo que decida sobre el instrumento ambiental. Nos encontra</t>
  </si>
  <si>
    <t>El presente item depende de  las actividades del convenio.</t>
  </si>
  <si>
    <t>Se cuenta con 12 planes de trabajo con las CAR : CORPOBOYACA, CORANTIOQUIA, CORNARE, CORPONARIÑO, CAR CUNDINAMARCA, CODECHO, CORPOCALDAS,CRCAUCA,CSB,CORPORINOQUIA,CDMB, CAS
Escenarios de Inervencion:
-Acompañamiento a pequeños mineros para la obtencion de licencia ambiental, por medio de convenios interadminsitrativos.
-Articulación interistitucional:
*Suscrpción de agenda interistitucional
*plan estrategico para consulta de expedientes LA
* mesas de trabajo con autoridad ambiental identificación casos puntuales inconvenientes en el tramite
*ciclo de formación para fortalecer el intercambio de conocimeinto en temas ambientales y mineros
*Seguimiento a compromisos MINA.</t>
  </si>
  <si>
    <t>PLAN CAR: se realizó reunión con 10 CAR CORANTIOQUIA CORNARE, CRSB, CORPOBOYACA CAR CUNDINAMARCA CODECHOCO CDMB CORPORINOQUIA, CORPONARIÑO CORPOCALDAS, donde se socializó la estrategia de regularización ambiental, nos encontramos a la espera de las observaciones a la Agenda interinstitucional propuesta, para la firma del Director de la CAR y la Directora de Formalización, se reprogramo reunión con la CRC y CAS.</t>
  </si>
  <si>
    <t>PLAN CAR: se realizó reunión con 11 CAR CORANTIOQUIA CORNARE, CRSB, CORPOBOYACA CAR CUNDINAMARCA CODECHOCO CDMB CORPORINOQUIA, CORPONARIÑO CORPOCALDAS, CAS donde se socializó la estrategia de regularización ambiental, nos encontramos a la espera de las observaciones a la Agenda interinstitucional propuesta, para la firma del Director de la CAR y la Directora de Formalización Minera.</t>
  </si>
  <si>
    <t>PA-DFM-06-10</t>
  </si>
  <si>
    <t>Número de mineros que empiezan el tránsito a la legalidad</t>
  </si>
  <si>
    <t>82 mineros que comienzan el transito a la legalidad.</t>
  </si>
  <si>
    <t xml:space="preserve"> A la fecha se llevaron a 225 nuevos mineros al tránsito a traves de la autorización de 15 subcontratos de formalización: ANTIOQUIA 7, BOYACA 2, CESAR 1, TOLIMA 4   Y CHOCO 1</t>
  </si>
  <si>
    <t>A la fecha se  autorizaron 12 subcontratos nuevos de mineros que empiezan su tránsito a la legalidad en los departamentos de Cundinamarca, Boyacá, Tolima, Santander, Cauca y Quindío.</t>
  </si>
  <si>
    <t>A la fecha se autorizaron 9 subcontratos de formalización minera en el mes de junio que proyectan beneficiar a 135 mineros, distribuidos en los departamentos de Boyacá (2), Cundinamarca (1), Tolima (1) , Cesar (1), Cauca (2) y Quindío (1) - 540 mineros total a la fecha</t>
  </si>
  <si>
    <t>PA-DFM-06-11</t>
  </si>
  <si>
    <t xml:space="preserve">Número de reportes de mineros contactados </t>
  </si>
  <si>
    <t>Se estra estructurando la estrategia para ubicar y poder contactar a los mineros.</t>
  </si>
  <si>
    <t>Se desarrolla un primer informe de contacto a 121 procesos correspondientes a 1656 mineros.</t>
  </si>
  <si>
    <t>Se realizó el contacto a 311 procesos correspondientes a 3663 mineros que tienen vocación a la legalidad.</t>
  </si>
  <si>
    <t>a la fecha se lleva un acumulado  de 527 procesos que beneficia a 7145 mineros</t>
  </si>
  <si>
    <t>a la fecha se lleva un acumulado de 620 procesos  que proyecta beneficiar a 8441</t>
  </si>
  <si>
    <t>PA-DFM-06-12</t>
  </si>
  <si>
    <t>Promover solicitudes de títulos con requisitos diferenciales</t>
  </si>
  <si>
    <t>Informe</t>
  </si>
  <si>
    <t>A la fecha se cuenta con dos trámites de cambio de modalidad a 326 en el departamento de Antioquia</t>
  </si>
  <si>
    <t>A la fecha se tienen identificados 250 propuestas de contrato de concesión con requisitos diferenciales radicados ante la ANM, los cuales se encuentran en proceso de evaluación con el fin de iniciar su tránsito a la Legalidad.</t>
  </si>
  <si>
    <t>a la fecha se encuentran 15 procesos vigentes correspondientes al trámite de contratos de concesión con requisitos diferenciales que benefician a 251 mineros</t>
  </si>
  <si>
    <t>A la fecha se cuenta con 31 procesos vigentes correspondientes a trámites de contratos de concesión con requisitos diferenciales que proyectan beneficiar a 444 mineros.</t>
  </si>
  <si>
    <t>PA-DFM-06-13</t>
  </si>
  <si>
    <t>Requisitos diferenciales para grupos étnicos adoptados</t>
  </si>
  <si>
    <t>Paquete normativo</t>
  </si>
  <si>
    <t>Revisar los proyectos de actos administrativos de la ANM, comoreglamentación complementaria para este tema</t>
  </si>
  <si>
    <t>Con base a las observaciones remitidas por la ANM se revisó  el proyecto de Decreto reglamentario del artículo 326 del PND para comunidades étnicas y los proyectos de norma de la ANM. ( Se envia ANM par su retroalimentación)</t>
  </si>
  <si>
    <t>Se adelantan ajustes al proyecto de Decreto reglamentario del artículo 326 del PND para comunidades étnicas y los proyectos de norma de la ANM.</t>
  </si>
  <si>
    <t>Se envía el proyecto normativo  a la oficina de asuntos sociales y ambientales con los documentos de la Agencia Nacional de Minería, con el fin de que sean enviados a Mininterior como primer paso para iniciar el proceso consultivo.</t>
  </si>
  <si>
    <t>PA-DFM-07-01</t>
  </si>
  <si>
    <t xml:space="preserve">"Generar herramientas para fortalecer los controles a la Explotación Ilícita de Minerales (EIM)   </t>
  </si>
  <si>
    <t>Concertar ponencia positiva del proyecto de Ley de control a la EIM</t>
  </si>
  <si>
    <t>nordonez@minenergia.gov.co</t>
  </si>
  <si>
    <t>A la espera de programación de fecha para presentación de ponencia positiva y así avanzar en su trámite.</t>
  </si>
  <si>
    <t>PA-DFM-07-02</t>
  </si>
  <si>
    <t xml:space="preserve">Tramitar PL de Control a la EIM </t>
  </si>
  <si>
    <t>Se continúa gestionando PL No. 059 de 2020 radicado, mediante presentación en reuniones virutales con todos los actores involucrados, incluidos congresistas.</t>
  </si>
  <si>
    <t>Se continúa gestionando PL No. 059 de 2020 radicado, mediante presentación en reuniones virutales con todos los actores involucrados, incluidos congresistas. Se ajusta de acuerdo a los comentarios recibidos.</t>
  </si>
  <si>
    <t>Se continúa gestionando el Proyecto de Ley radicado y se realiza permanentemente ajustes, conforme a los  comentarios recibidos por parte de los ministerios  y de los congresistas, especialmente.</t>
  </si>
  <si>
    <t>Se continúa realizando reuniones de concertación de articulado con congresistas del Proyecto de Ley radicado. Así mismo, se realizan ajustes al mismo en la medida que se realizan estas reuniones. En riesgo de no continuar trámite por fuerte oposición política a la iniciativa.</t>
  </si>
  <si>
    <t xml:space="preserve">Se realiza análisis de artículado del Proyecto de Ley (PL) presentado para ser incluido en el PL314 , dado que este PL 059 se considera sin opción de continuar en trámite legislativo.  </t>
  </si>
  <si>
    <t>PA-DFM-07-03</t>
  </si>
  <si>
    <t>Recopilar, analizar y sensibilizar sobre datos de EIM (Estudio divulgado)</t>
  </si>
  <si>
    <t>Se avanzó en el proceso de detección para procesamiento y análisis de las EVOA 2020.</t>
  </si>
  <si>
    <t xml:space="preserve">Se encuentra en proceso de análisis finales de las EVOA detectadas y se inicio con la elaboración del documento de resultados 2020. </t>
  </si>
  <si>
    <t xml:space="preserve">Se elaboró informe preliminar de resultados EVOA 2020 y se encuentra en proceso de revisión y ajuste para reporte final validado. </t>
  </si>
  <si>
    <t>Documento en edición para versión final a entregar, publicar y socializar resultados, en el mes de Julio de 2021.</t>
  </si>
  <si>
    <t>EVOA 2020 finalizado y actualmente se coordina y prepara su publicación oficial.</t>
  </si>
  <si>
    <t>PA-DFM-07-04</t>
  </si>
  <si>
    <t>Implementar mecanismo de trazabilidad a compra y venta de oro</t>
  </si>
  <si>
    <t>No se registra avance en esta actividad.</t>
  </si>
  <si>
    <t>ANM avanza en un estudio de mercado para la implementación del codigo fuente del piloto de trazabilidad de oro de barequeros realizada en el 2020.</t>
  </si>
  <si>
    <t>La ANM continúa en el proceso de elaboración de un estudio de mercado para escalar el desarrollo del piloto y lograr su puesta en marcha. Se espera culminar este proceso en el transcurso del mes de abril de 2021.</t>
  </si>
  <si>
    <t>La ANM avanzó en el proceso de contratacion y finalizaron el estudio de mercado. El próximo mes, publicaran el estudio previo para la licitacion. Así mismo, adelantan la construccion de los casos de uso para una vez contratado el desarrollador, tenga todos los requerimientos muy bien definidos</t>
  </si>
  <si>
    <t>La ANM avanzó en la preparación del estudio previo para la licitacion, para lo cual revisarón y ajustaron el presupuesto destinado para esta contratación.</t>
  </si>
  <si>
    <t>PA-DFM-07-05</t>
  </si>
  <si>
    <t xml:space="preserve">Implementar mecanismo de trazabilidad para otros minerales </t>
  </si>
  <si>
    <t>PA-DFM-07-06</t>
  </si>
  <si>
    <t>Implementar una estrategia de debida diligencia en compra de minerales legales</t>
  </si>
  <si>
    <t xml:space="preserve">En proceso de construcción de lineamientos iniciales para la elaboración, presentación y socialización de la estrategia a desarrollar. </t>
  </si>
  <si>
    <t xml:space="preserve">Se avanzó y concertó con BGI de la Embajada Suiza, apoyar la formulación e implementación de medidas para la prevención, monitoreo y control de riesgos de lavado de activos y financiación del terrorismo que pueda llevar a cabo la Agencia Nacional de Minería, en el marco de los procesos de contratación minera y fiscalización, mediante la contratación de un consultor en la materia, para lo cual se elaboraron los términos de referencia. </t>
  </si>
  <si>
    <t>Mediante gestión con la cooperación Suiza a través de Better Gold Initiative (BGI) y BSD Consulting SAS, contrataron consultoría para análisis y prevención de riesgos LAFT, en el marco de los procesos de contratación y fiscalización minera, desarrollados por Agencia Nacional de Minería - ANM.</t>
  </si>
  <si>
    <t xml:space="preserve">Se sustuvo reunión de retroalimentaicón,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</si>
  <si>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PA-DH-01-01</t>
  </si>
  <si>
    <t>Nuevos usuarios con el servicio de gas combustible  por redes (SINERGIA)</t>
  </si>
  <si>
    <t>pjaramillo</t>
  </si>
  <si>
    <t>Diigital</t>
  </si>
  <si>
    <t>Ubicación en la nube DH</t>
  </si>
  <si>
    <t>De acuerdo con el reporte de cobertura del último trimestre de 2020, se cuentan con 92.893 usuarios conectados</t>
  </si>
  <si>
    <t>El repore de usuarios se hace de manera trimestral. Además se tiene la informacón. para este primer trimestre se tiene la información con la que se cerró el año 2020</t>
  </si>
  <si>
    <t>La cobertura se reporta de manera trimestral por lo anterio en el mes de mayo se contará con la información del 1T de 2021</t>
  </si>
  <si>
    <t>Durante el mes de abril, se estuvo a la espera del reporte que entregarán las empresas distribuidoras del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redes. Por lo cual se espera contar con la información correspondiente al primer trimestre de 2021 a finales de mayo.</t>
  </si>
  <si>
    <t>Para el primer trimestre se cuentan con 101.348 nuevos usuarios de gas por red</t>
  </si>
  <si>
    <t>El reporte de usuarios se hace de manera trimestral. En septiembre se reportará la información del segundo trimestre de 2021</t>
  </si>
  <si>
    <t>PA-DH-01-02</t>
  </si>
  <si>
    <t>Usuarios que dejan de usar leña para cocinar (SINERGIA)</t>
  </si>
  <si>
    <t>dmpineros</t>
  </si>
  <si>
    <t xml:space="preserve">Durante el mes de enero 1393 usuarios dejaron de usar leña para cocinar con cilindros de glp </t>
  </si>
  <si>
    <t xml:space="preserve">Durante el mes de febrero  1311 usuarios dejaron de usar leña para cocinar con cilindros de glp </t>
  </si>
  <si>
    <t xml:space="preserve">Durante el mes de febrero  1511 usuarios dejaron de usar leña para cocinar con cilindros de glp </t>
  </si>
  <si>
    <t>Durante el mes de febrero  1378 usuarios dejaron de usar leña para cocinar con cilindros de glp 
Durante el mes de abril, se continuó trabajando en la gestión para reportar los usuarios conectados a través de programas de subsidios al Gas Licuado del Petróleo - GLP. Adicionalmente se cargó en la página del Ministerio el archivo actualizado de los usuarios conectados a través de dichos programas de subsidios, el cual se puede consultar en https://www.minenergia.gov.co/estadisticas-gas-combustible.</t>
  </si>
  <si>
    <t>Durante el mes de mayo usuario  no hubo usurario que dejaron de usar leña para cocinar con cilindros de glp.
Dado que los departamentos en los que se encuentra en plan piloto de subsidios, han sido los más afectados por los bloqueos, esto ha impactado en el abastecimiento y por tanto en el acceso al servicio</t>
  </si>
  <si>
    <t>Durante el mes de abril 2383 usuarios dejaron de usar leña para cocinar con cilindros de glp</t>
  </si>
  <si>
    <t>PA-DH-02-01</t>
  </si>
  <si>
    <t xml:space="preserve">Efectuar el seguimiento a la ejecución del plan de abastecimiento de gas.   </t>
  </si>
  <si>
    <t>Inversionista para la planta de regasificación y le gasoducto buenaventura- yumbo seleccionado</t>
  </si>
  <si>
    <t xml:space="preserve">Ubicación en la nube DH </t>
  </si>
  <si>
    <t>No se reportan avances en el mes de enero de 2021</t>
  </si>
  <si>
    <t>No se reportan avances en el mes de febrero de 2021</t>
  </si>
  <si>
    <t>El cronograma de selección fue modificado por la UPME, por tanto se aplaza la recha de selección del inversionista para finales de septiembre</t>
  </si>
  <si>
    <t>El 11 de junio el cronograma de la UPME fue modificado nuevamente, por lo tant se aplaza la fecha de selección del inversionista</t>
  </si>
  <si>
    <t>PA-DH-02-02</t>
  </si>
  <si>
    <t>Manifestaciones de interés de los operadores de los proyectos presentados ante la CREG</t>
  </si>
  <si>
    <t>No se reportan avances en el mes de enero de 2022</t>
  </si>
  <si>
    <t>No se reportan avances en el mes de febrero de 2022</t>
  </si>
  <si>
    <t>La CREG se encuentra en ajustes a la normatividad para el proceso de desarrollo de los proyectos</t>
  </si>
  <si>
    <t>La CREG se encuentra en ajustes a la normatividad para el proceso de desarrollo de los proyectos. Se expidió la Resolución 006 y 007 de 2021 para consulta</t>
  </si>
  <si>
    <t>PA-DH-03-01</t>
  </si>
  <si>
    <t xml:space="preserve">Proyectar y expedir la regulación relacionada con la calidad de los combustibles líquidos derivados del petróleo, biocombustibles  y sus mezclas.   </t>
  </si>
  <si>
    <t>Resolución modificando el parámetro de contenido (PPM) de azufre en el diésel expedida</t>
  </si>
  <si>
    <t>llfgarcia</t>
  </si>
  <si>
    <t>El proyecto de resolución se encuentra en publicación a comentarios internacional hasta el 7 de marzo para poder expedir</t>
  </si>
  <si>
    <t>De acuerdo con los comentarios remitidos por el Mincit, los comentarios fueron resueltos y la resolución se encuentra para firma de Ministro y para expedición</t>
  </si>
  <si>
    <t>Se expidió la Resolución 40103 del 7 de abril de 2021 por la cual se establecieron los parámetros y requisitos de calidad del combustible diésel (ACPM), los biocombustibles para uso en motores de encendido por compresión como componentes de mezcla en procesos de combustión y de sus mezclas y, de las gasolinas básicas y gasolinas oxigenadas con etanol anhidro, combustible para uso en motores de encendido por chispa, y se adoptaron otras disposiciones.</t>
  </si>
  <si>
    <t>Cumplido en el mes de abril</t>
  </si>
  <si>
    <t>PA-DH-03-02</t>
  </si>
  <si>
    <t>Resolución modificando el parámetro de contenido (PPM) de azufre en la gasolina expedida</t>
  </si>
  <si>
    <t>PA-DH-03-04</t>
  </si>
  <si>
    <t>Proyecto  de modificación de reglamentación de  modificación del porcentaje de mezcla gasolinas oxigenadas elaborado.</t>
  </si>
  <si>
    <t>El proyecto fue elaborado por la Dirección de Hidrocarburos para  ser revisado por los demas ministerios firmados</t>
  </si>
  <si>
    <t>El proyecto fue publicado a comentarios entre el 3 y el 18 de marzo, los comentarios fueron resuelto y se encuentra en revisión juridica para continuar proceso de firmas y de expedición.</t>
  </si>
  <si>
    <t>Se expidió la Resolución 40111 del 9 de abril del 2021 por el cual se estableció el contenido de alcohol carburante - etanol en la mezcla con gasolina motor corriente y extra, y el contenido de biocombustible en la mezcla con diesel fósil.</t>
  </si>
  <si>
    <t>PA-DH-03-05</t>
  </si>
  <si>
    <t>Proyecto de reglamentación de parámetros de calidad del combustible de aviación elaborado</t>
  </si>
  <si>
    <t>El proyecto fue enviado en diciembre de 2020 al Ministerio de Ambiente para su revisión. Este no ha sido devuelto con los ajustes desde esa entidad para poder publicar a comentarios de la ciudadanía</t>
  </si>
  <si>
    <t>El proyecto fue enviado en diciembre de 2020 al Ministerio de Ambiente para su revisión. Este no ha sido devuelto con los ajustes desde esa entidad para poder publicar a comentarios de la ciudadanía.Se han realizado mesas de trabajo con MADS para darle avance a la resolución, pero se está a la espera del concepto de Mintransporte para avanzar en la aprobación y publicación por parte de ambos ministerios.</t>
  </si>
  <si>
    <t>Se realizó una reunión con la Aeronáutica Civil para revisar las competencias de las diferentes entidades y el 21 de junio nuevamente se reenvió el proyecto a la espera de la revisión por parte de Mintransporte y de la Aeronáutica Civil.</t>
  </si>
  <si>
    <t>PA-DH-03-06</t>
  </si>
  <si>
    <t>Expedición de la regulación del programa de  QA/QC efectuada</t>
  </si>
  <si>
    <t xml:space="preserve">El proyecto se encuentra en elaboración por el grupo Downstream </t>
  </si>
  <si>
    <t xml:space="preserve">El proyecto fue remitido al área jurídica de la DH para su revisión y ajuste con el fin de continuar el proceso de publicación a comentarios de la ciudadanía </t>
  </si>
  <si>
    <t>El proyecto aun se encuentra en la revisión técnica y jurídica para continuar con el proceso de publicación a comentarios. Debido a los temas técnicos específicos a establecer el proyecto ha tenido demoras en su publicación, sin embargo, se espera publicarlo en el mes de mayo.</t>
  </si>
  <si>
    <t>El proyecto ya fue elaborado y se están revisando unas posibles mesas con el sector, con el fin de dialogar el programa. De igual forma, se espera publicar el proyecto a comentarios en el tercer trimestre del año.</t>
  </si>
  <si>
    <t>PA-DH-04-01</t>
  </si>
  <si>
    <t xml:space="preserve">Contar con el registro de agentes de la cadena actualizado   </t>
  </si>
  <si>
    <t>Mecanismo para registro de contratos de suministro de los agentes y actores de la cadena de distribución de combustible propuesto.</t>
  </si>
  <si>
    <t>El proyecto está siendo elaborado por la Dirección de Hidrocarburos para proceder a su revisión jurídica y publicación de comentarios</t>
  </si>
  <si>
    <t>El proyecto ya fue elaborado y está siendo revisado por el área jurídica de la Dirección de Hidrocarburos para proceder con la publicación de comentarios</t>
  </si>
  <si>
    <t>PA-DH-04-02</t>
  </si>
  <si>
    <t>Estaciones de servicio automotrices y fluviales con coordenadas de ubicacion actualizadas</t>
  </si>
  <si>
    <t>Porcentaja</t>
  </si>
  <si>
    <t>El proyecto está siendo elaborado por el grupo Downstream pero deben revisarse unos temas técnicos con el IGAC para continuar su elaboración</t>
  </si>
  <si>
    <t>Se está ajustando la redacción  de requerimiento de las coordenadas acorde con lo expuesto por el IGAC y remitir finalmente a validación jurídica</t>
  </si>
  <si>
    <t>El proyecto esta siendo revisado por el area legal de la Dirección de Hidrocarburos, para así proceder con su publicación a comentarios en el mes de mayo.</t>
  </si>
  <si>
    <t>Se espera publicar a comentarios de la ciudadanía en el mes de junio de 2021.</t>
  </si>
  <si>
    <t>El proyecto se encuentra en revisión del área legal de la Dirección de Hidrocarburos con el fin de publicar en el tercer trimestre de 2021</t>
  </si>
  <si>
    <t>PA-DH-05-01</t>
  </si>
  <si>
    <t xml:space="preserve">Iniciar el proceso de transformación  y medición de la operatividad del Sistema de la cadena de distribución de combustibles líquidos derivados del petróleo.   </t>
  </si>
  <si>
    <t>Índice de satisfacción del usuario SICOM combustibles respecto del servicio prestado.</t>
  </si>
  <si>
    <t>mcperez</t>
  </si>
  <si>
    <t>Digital</t>
  </si>
  <si>
    <t>El Indice de satisfacción para el mes de enero fue de 93%</t>
  </si>
  <si>
    <t>El Indice de satisfacción para el mes de febrero fue de 93%</t>
  </si>
  <si>
    <t>El índice de satisfacción para el mes de marzco es de 90%</t>
  </si>
  <si>
    <t>El índice de satisfacción para el mes de abril es de 89%</t>
  </si>
  <si>
    <t>El índice de satisfacción para el mes de abril es de 92%</t>
  </si>
  <si>
    <t>El indice de satisfacción para el mes de junio es de 86,6%</t>
  </si>
  <si>
    <t>PA-DH-05-03</t>
  </si>
  <si>
    <t>Esquema de focalización de Subsidios ZDF (GLP+LIQUIDOS) SICOM 2.0 Modelo BPM</t>
  </si>
  <si>
    <t>Actualmente nos encontramos pasando a bpm y construyendo la historia de usuario o caso de uso con el SICOM para iniciar con un piloto regional</t>
  </si>
  <si>
    <t>PA-DH-06-02</t>
  </si>
  <si>
    <t xml:space="preserve">Conformación de Centro Nacional de Operaciones de combustibles líquidos ("CNO")   </t>
  </si>
  <si>
    <t>Propuesta de regulación de C.N.O. ( Concejo Nacional de Operaciones) de Combustibles líquidos elaborada</t>
  </si>
  <si>
    <t>Digita</t>
  </si>
  <si>
    <t>Ubicación nube DH</t>
  </si>
  <si>
    <t>No se reportan avances para el mes de marzo de 2021</t>
  </si>
  <si>
    <t>No se reportan avances para el mes de abril de 2021</t>
  </si>
  <si>
    <t>No se reportan avances para el mes de mayo de 2021</t>
  </si>
  <si>
    <t>No se reporten avances para el mes de junio de 2021</t>
  </si>
  <si>
    <t>PA-DH-07-01</t>
  </si>
  <si>
    <t xml:space="preserve">Ampliar la cobertura de programa de Reconversión laboral   </t>
  </si>
  <si>
    <t>Nuevos beneficiarios del programa de Reconversión laboral incluidos</t>
  </si>
  <si>
    <t>Digiital</t>
  </si>
  <si>
    <t xml:space="preserve">En fase de Caracterización de la población y se espera sobre el segundo trimestre de 2021 se constituya convenio para implementación del programa </t>
  </si>
  <si>
    <t xml:space="preserve">Se continua en fase de Caracterización de la población y se espera sobre el segundo trimestre de 2021 se constituya convenio para implementación del programa </t>
  </si>
  <si>
    <t>El convenio de reconversion comenzará a implementarse a partir del segundo semestre de 2021, en razón a ello, aún no hay beneficiarios atendidos a la fecha.</t>
  </si>
  <si>
    <t>Desde la Dirección de Hidrocarburos, se viene adelantando el proceso contractual para implementar los programas de reconversión socio laboral en zonas de frontera para comerciantes informales de combustible. Esperamos que el convenio este firmado en el tercer trimestre del año a fin de implementar la estrategia durante lo que resta del 2021 y poder atender nuevos beneficiarios.</t>
  </si>
  <si>
    <t>PA-DH-08-01</t>
  </si>
  <si>
    <t xml:space="preserve"> Expedir la resolución que contiene la metodología de asignación de volúmenes máximos de ZF.   </t>
  </si>
  <si>
    <t>Resolución de la metodología expedida</t>
  </si>
  <si>
    <t>lgarcia</t>
  </si>
  <si>
    <t>Actualmente la Dirección de Hidrocarburos se encuentra trabajando con la empresa consultora Econometría S.A. en la construcción de la Metodología de Asignación de Volúmenes Máximos. A la fecha la empresa Econometría ha enviando 3 entregables de un total de 4 que están contemplados según cronograma en el contrato GGC 587 del 2020</t>
  </si>
  <si>
    <t>Actualmente nos encontramos en el proceso de socialización de la metodología de asignación de volúmenes máximos de forma presencial en algunos municipios considerados, y de forma virtual para cualquier interesado del tema.</t>
  </si>
  <si>
    <t>Después del proceso de socialización de la metodología de forma presencial en algunos municipios considerados ZDF y de recibir por parte de autoridades locales diferentes posiciones, recomendaciones y estudios técnicos que complementen el estudio; la Dirección de Hidrocarburos se encuentra en proceso de construcción de diferentes modelos econométricos con las variables de orden nacional actualizadas y el periodo de tiempo establecido, con la finalidad de obtener la demanda de combustible aproximado a la realidad por parte de la población objeto de la política pública</t>
  </si>
  <si>
    <t>Actualmente nos encontramos en el proceso de evaluación de los documentos técnicos y estudios por parte de las autoridades locales que allegaron al Ministerio de Minas y Energía luego de realizar la socialización de la nueva metodología de asignación de volúmenes máximos en algunos municipios considerados zona de frontera. Posterior al análisis de los documentos allegados, los mismos serán incluidos en la metodología si cumplen con los criterios de ser variables de orden nacional</t>
  </si>
  <si>
    <t>PA-DH-09-01</t>
  </si>
  <si>
    <t xml:space="preserve">Flexibilizar de política de precios para la Gasolina Motor Corriente (GMC) (finalmente no se Hizo en 2020)   </t>
  </si>
  <si>
    <t>Proyecto de resolución de flexibilización de precios de Gasolina Motor Corriente (GMC)</t>
  </si>
  <si>
    <t>PA-DH-010-01</t>
  </si>
  <si>
    <t xml:space="preserve">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   </t>
  </si>
  <si>
    <t>Resolución del Plan de continuidad y expansión de oleoductos expedida</t>
  </si>
  <si>
    <t>Ubicaciíon en la nube</t>
  </si>
  <si>
    <t>El proyecto fue elaborado por la Dirección de Hidrocarburos de acuerdo con lo remitido por la UPME</t>
  </si>
  <si>
    <t>El proyecto fue remitido a la OAJ para su revisión y publicación a comentarios</t>
  </si>
  <si>
    <t>El proyecto fue publicado a comentarios entre el 15 y 30 de marzo, y actualmente nos encontramos en revisión de los mismos para continuar con el proceso de expedición.</t>
  </si>
  <si>
    <t>El proyecto fue publicado a comentarios entre el 15 y 30 de marzo, y actualmente nos encontramos en revisión de los mismos con la UPME.</t>
  </si>
  <si>
    <t>El proyecto fue publicado a comentarios entre el 15 y 30 de marzo, y actualmente nos encontramos en revisión de los mismos con la UPME con el fin de modificar, de ser así, el proyecto normativo.</t>
  </si>
  <si>
    <t>El proyecto fue publicado a comentarios entre el 15 y 30 de marzo y por tal motivo la UPME realizó ajustes al documento del Plan Indicativo de Abastecimiento de Combustibles. En la última semana de junio la UPME remitió el documento a la DH para hacer su revisión y por ende, ajuste al proyecto de resolución con el fin de expedirlo en el tercer trimestre de 2021.</t>
  </si>
  <si>
    <t>PA-DH-010-02</t>
  </si>
  <si>
    <t>Requeriminiento de al menos 5 días de inventario en producto, en almacenamiento comercial</t>
  </si>
  <si>
    <t>Se está a la espera del envío de la segunda parte del Plan Indicativo de Combustibles elaborado por la UPME para continuar con la elaboración del proyecto administrativo</t>
  </si>
  <si>
    <t>Se continúa a la espera del envío de la segunda parte del Plan Indicativo de Combustibles elaborado por la UPME para continuar con la elaboración del proyecto administrativo</t>
  </si>
  <si>
    <t>PA-DH-010-03</t>
  </si>
  <si>
    <t>Resolución para la regulación para el incremento de la mezcla B12 a nivel nacional desarrollada</t>
  </si>
  <si>
    <t>El proyecto elaborado por la DH está siendo revisado por los Ministerios de Ambiente y Desarrollo Sosteniboe y de Agricultura y Desarrollo Rural con el fin de publicar la primera semana de marzo a comentarios de la ciudadanía</t>
  </si>
  <si>
    <t>Fue cumplido en el mes de abril</t>
  </si>
  <si>
    <t>PA-DH-010-04</t>
  </si>
  <si>
    <t>Hoja de ruta para el uso alternativo de biocombustibles en la cadena de suministro elaborada</t>
  </si>
  <si>
    <t>No  se reportó avance en el mes de eneto</t>
  </si>
  <si>
    <t>No se report avance en el mes de febrero</t>
  </si>
  <si>
    <t xml:space="preserve">Se aprobó el proyecto de ley de transición energética en el cual se incluyó un artículo por el cual se impulsará la investigación y el desarrollo de los usos alternativos de los biocombustibles. </t>
  </si>
  <si>
    <t>PA-DH-011-01</t>
  </si>
  <si>
    <t>Informes de seguimiento trimestral  a los eventos emergencia que se presenten en la infraestructura de oleoductos revisados</t>
  </si>
  <si>
    <t>Ubicaciion nube DH</t>
  </si>
  <si>
    <t>No se presentaron eventos durante el mes de enero de 2021</t>
  </si>
  <si>
    <t>No se presentaron eventos durante el mes de febrero de 2021</t>
  </si>
  <si>
    <t>No se presentaron eventos de emergencia a la infraestructura de oleoductos durante el mes de marzo de 2021</t>
  </si>
  <si>
    <t xml:space="preserve">Se presento un evento a las 11:19 hrs del 18 de abril en el KM 222 + 077 Oleoducto Bicentenario mediante sistema de deteccion de intrusos (SDI) por perdida de visializacion; posteriormente, a lasm14:32 se reporta explosion vereda Via, municipio de Saravena en el departamento de Arauca.   </t>
  </si>
  <si>
    <t>No se presentaron eventos de emergencia a la infraestructura de oleoductos durante el mes de mayo de 2021</t>
  </si>
  <si>
    <t>Se presento un evento el 21 de junio 206 + 166 Oleoducto Bicentenario (municipio de Saravena), identificando perdida de presion del sistema, se procede con todas las actividades previas para el cambio de tuberia.</t>
  </si>
  <si>
    <t>PA-DH-011-02</t>
  </si>
  <si>
    <t>Base de datos que relaciona los planes de manejo de riesgo de transportadores de oleoductos del país (riesgos identificados) y los eventos de contingencias presentados por sistema.</t>
  </si>
  <si>
    <t>Ubiacación nube DH</t>
  </si>
  <si>
    <t xml:space="preserve">Terminar la revisiòn de los planes de contingecia de los 15 sistemas de transporte, teniendo en cuenta que durante el año 2020 se revisaron 14. </t>
  </si>
  <si>
    <t>Teniendo en cuenta que durante el año 2020 se revisaron 14 de los 15 planes de contigencia de los transportadores por oleoductos, se recibio el plan de contingencia del transportador pendiente.</t>
  </si>
  <si>
    <t>Se estructuro presentaciòn para el Director de Hidrocarburos, en donde se explicaron las bases de la informacion y desarrollo de la matriz que se propone, mas temas adicionales que se desarrollaran y ayudara al seguimiento de los planes de contingencia, atentados y reportes por parte del grupo del MID, como primer insumo para linea base para el desarrollo de este indicador. Se adjunta la presentacion en mencion.</t>
  </si>
  <si>
    <t>Luego de la presentacion al Director se procedio con la elaboración de la matriz ideal de un sistema, acorde con los planes de gestón del riesgo de los transportadores por oleoducto + los eventos de contingencia reportados a ANLA mas otra base de datos que se obtuvo con CENIT.  Se está avanzando en el ejercicio estadistíco solicitado, con el fin de determinar la probabilidad de determinados eventos en un sistema.</t>
  </si>
  <si>
    <t>Nos encontramos estructurando la matriz ideal de un sistema, acorde con los planes de gestón del riesgo de los transportadores por oleoducto + los eventos de contingencia reportados a ANLA + base de datos - CENIT, mas el ejercicio estadistico para determinar la probabilidad de eventos en un sistema.</t>
  </si>
  <si>
    <t>Proseguimos con la estructuracion de la matriz ideal de un sistema, acorde con los planes de gestón del riesgo presentados por los transportadores, eventos de contingencia reportados a ANLA y base de datos - CENIT, con los cuales se esta realizando un  ejercicio estadistico de probabilidad de eventos en un sistema.</t>
  </si>
  <si>
    <t>PA-DH-012-01</t>
  </si>
  <si>
    <t xml:space="preserve">Realizar seguimiento a los mecanismos de control y vigilancia a las actividades de transporte de hidrocarburos en el país.    </t>
  </si>
  <si>
    <t>Informe de legalización de guias de transporte de crudo y derivados del país revisadas e incluidas en la base de datos</t>
  </si>
  <si>
    <t>Ubiacion nube DH</t>
  </si>
  <si>
    <t>Se recibio el informe de legalización de guias correspondiente al mes de Diciembre 2020 con la información recolectada por ECOPETROL S.A. y reportada por todos los usuarios de las guias de transporte. Se incluyo en la base de datos.</t>
  </si>
  <si>
    <t>Se recibio el informe de legalización de guias correspondiente al mes de Febrero de 2021 con la información recolectada por ECOPETROL S.A. y reportada por todos los usuarios de las guias de transporte. Se incluyo en la base de datos.</t>
  </si>
  <si>
    <t>Se recibio el informe de legalización de guias correspondiente al mes de Marzo de 2021 con la información recolectada por ECOPETROL S.A. y reportada por todos los usuarios de las guias de transporte. Se incluyo en la base de datos.</t>
  </si>
  <si>
    <t>Se recibio el informe de legalización de guias correspondiente al mes de Abril de 2021 con la información recolectada por ECOPETROL S.A. y reportada por todos los usuarios de las guias de transporte. Se incluyo en la base de datos.</t>
  </si>
  <si>
    <t>PA-DH-012-02</t>
  </si>
  <si>
    <t>Sustitución de guias de transporte físicas por guías digitales. Implementación Módulo de Web Service SICOM-RNDC realizada</t>
  </si>
  <si>
    <t>De acuerdo con los avances del año 2020, se trabajo en conjunto con el Ministeiro de Transporte en el diagnóstico del esquema de guías de transporte.</t>
  </si>
  <si>
    <t>1) Se realizaron propuestas preliminares para discución normativa del decreto 1073 y del decreto 1079 en conjunto con Mintransporte y 
2) Se presentó propuesta de esquema DGT para discución.</t>
  </si>
  <si>
    <t>1) Aprobado definiciòn de Piloto de aplicación de tránsito de guías a RNDC. Piloto de 2 etapas con operadores de combustibles en zonas de frontera.
2) Definición con MINTRANSPORTE de esquema de aplicación de Piloto. Etapas.A) Productos b)Campos guías, c) Capacitaciòn. d) Base de datos RNDC.</t>
  </si>
  <si>
    <t>Se sostuvieron reuniones con empresas mayoristas y se acordo desarrollar del piloto con Petrodecol y Chevron (Yumbo+Tumaco). Propuesta en zona de influencia de Planta de Yumbo. En espera del acto adminsitrativo de RNDC versión móvil (Mintransporte).</t>
  </si>
  <si>
    <t>La implementacion y desarrollo del piloto se encuentra suspendida por temas de orden publico. A la espera de la normalizacion para la reunion con MINTRANSPORTE con el fin de proceder con el piloto.</t>
  </si>
  <si>
    <t>Luego de solventar los inconvenientes de orden publico a nivel Nacional, se procedio con la reunión con MINTRANSPORTE la cual fue muy importante en función de los objetivos compartidos por la dos entidades. Nos encontramos a la espera que se concreten unos cambios regulatorios en MINTRANSPORTES con el fin de avanzar con el piloto.</t>
  </si>
  <si>
    <t>PA-DH-013-01</t>
  </si>
  <si>
    <t xml:space="preserve">Efectuar la revisión, análisis y propuesta de mejora a la regulación para incluir la reclasificación de líneas de transferencia a oleoductos.   </t>
  </si>
  <si>
    <t>Proyecto de reglamentación para la reclasificación de líneas de transferencia realizado.</t>
  </si>
  <si>
    <t>ubicaciion nube DH</t>
  </si>
  <si>
    <t>Inventario y revisión de casos específicos presentados durante los ultimos años en los cuales se ha realizado la reclasificacion de lineas de transferencia a oleoductos.</t>
  </si>
  <si>
    <t>Inventario actualizado de los casos pendientes por legalizar relacionados con la reclasificacion de lineas de transferencia a oleoductos.</t>
  </si>
  <si>
    <t>De acuerdo con el inventario actualizado, se tenia programadas unas visitas a campo en el mes de marzo de 2021, con el fin de tener mayor claridad en el procedimiento y demas aspectos relevantes en la legalizacion de las lineas de transferencia que se utilizan como oleoductos, pero por temas operativos y de protocolos de bioseguridad, se aplazaron para los meses de abril y mayo 2021, y asi proceder con la legalizacion de los casos pendientes, paralelamente nos encontramos trabajando en la identificacion de temas y aspectos importantes por aclarar, incluir y modificar en la R-72145 de 2014, que es donde se piensa incluir en forma expresa la legalizacion de las lineas de transferencias.</t>
  </si>
  <si>
    <t>Se tenian programadas unas visitas en el mes de abril de 2021, con el fin de revisar en campo los aspectos relevantes en la legalizacion de las lineas de transferencia que se utilizan como oleoductos, pero temas de trabajos operativos y de protocolos de bioseguridad, genero aplazamiento para el mes de mayo 2021. Nos encontramos trabajando en la estructuracion de la consultoria para la modificacion del Reglamento de Transporte donde se tiene previsto incluir como de los temas la legalizacion de las lineas de transferencia que operan como oleductos.</t>
  </si>
  <si>
    <t>Se tenian programadas unas visitas en el mes de mayo de 2021, con el fin de revisar en campo los aspectos relevantes en la legalizacion de las lineas de transferencia que se utilizan como oleoductos, pero temas temas de cierres de vias y aspectos de orden social y de seguridad imposibilitaron avanzar con dichas visitas. Se espera reprogramar las visitas a la mayor brevedad posible, en la medida que todo regrese a la normalidad desde el punto de vista social y de seguridad.</t>
  </si>
  <si>
    <t>Se tenian programadas unas visitas en el mes de junio de 2021 con el fin de revisar en campo los aspectos relevantes en la legalizacion de las lineas de transferencia que se utilizan como oleoductos, pero casos de covid en algunos campos, altos procentajes de nuevos infectados y ocupaciones de UCI, han imposibilitado el cumplimiento de los objetivos. Se espera avanzar en el segundo semestre de 2021.</t>
  </si>
  <si>
    <t>PA-DH-014-01</t>
  </si>
  <si>
    <t xml:space="preserve">Elaborar proyectos de reglamentacion  para las actividades de exploración y producción    </t>
  </si>
  <si>
    <t>Acto administrativo  de modificación Resolución  de la 181495 de 2009 que reglamenta la exploración y la explotación de Hidrocarburos elaborado.</t>
  </si>
  <si>
    <t>Consolidación de comentarios recibidos por parte de ANH y Ecopetrol al proyecto de modificación.</t>
  </si>
  <si>
    <t>Sesiones de trabajo con la ANH sobre aportes técnicos para el proyecto de modificación.</t>
  </si>
  <si>
    <t>Se realizó sondeo de mercado para la consultoría, a la espera de resultados</t>
  </si>
  <si>
    <t>En espera de los resultados del sondeó de mercado que se implementará para la modificación de la resolución 181495. Sin embargo, se tienen adelantados temas puntiales de modificación.</t>
  </si>
  <si>
    <t>En espera de resultado sondeo de mercado. No obstante, se sigue trabajando en aportes de temas puntuales de modificación a la resolución 181495</t>
  </si>
  <si>
    <t>Recoleccion de comentarios de ANH y Ecopetrol, identificacion de puntos susceptibles a cambio</t>
  </si>
  <si>
    <t>PA-DH-014-02</t>
  </si>
  <si>
    <t>Proyecto de reglamentación técnica para proyectos de Recobro mejorado y producción incremental elaborado</t>
  </si>
  <si>
    <t>Definiendo términos de referencia para asignación de recursos del SGR. Se proyecta iniciar en el mes de abril de acuerdo a la asignación de recursos.</t>
  </si>
  <si>
    <t>No se han asignado los recursos del sistema General de Regalías por lo que no se ha podido iniciar el proceso contractual</t>
  </si>
  <si>
    <t>Aún no se ha empezado el proceso contractual al haberse recibido los recursos del sistema general regalias en el corte del mes</t>
  </si>
  <si>
    <t>Sondeo de mercado en borrador .</t>
  </si>
  <si>
    <t>PA-DH-014-03</t>
  </si>
  <si>
    <t>Resolución  de reglamentación técnica para las actividdes del taponamiento y abandono de  pozos elaborado</t>
  </si>
  <si>
    <t>Sesiones de trabajo con la ANH de socialización y recepción de comentarios del nuevo borrador de proyecto de resolución</t>
  </si>
  <si>
    <t>Analisis de posible inclusión de actividades de suspensión de pozos relacionada con las actividades de Geotermia</t>
  </si>
  <si>
    <t>Se lleno el check list de reglamentación y se espera la respuesta de OAJ para publicación a comentarios</t>
  </si>
  <si>
    <t>Esperando autorización de OAJ para publicación a comentarios.</t>
  </si>
  <si>
    <t>Se termino borrador final y memoria técnica justificativa, en espera de autorización para publicación a comentarios</t>
  </si>
  <si>
    <t>En espera de autorización para publicación a comentarios.</t>
  </si>
  <si>
    <t>PA-DH-014-04</t>
  </si>
  <si>
    <t>Estudio de roles y actores de las actividades de exploración y explotación de hidrocarburos costa afuera contratado</t>
  </si>
  <si>
    <t>Definición de los terminos de refrencia para contratación de consultoria</t>
  </si>
  <si>
    <t>Socialización de terminos de referenciacon con interesados y respuesta a observaciones de los mismos</t>
  </si>
  <si>
    <t>Inicio el proceso de negociación a tráves del Credito BID</t>
  </si>
  <si>
    <t>Se asignó el contrato de consultoria y se dará inicio a la misma en el mes de mayo.</t>
  </si>
  <si>
    <t>Se dió inicio a la consultoria</t>
  </si>
  <si>
    <t>Avanza la consultoria con el entregable 2.</t>
  </si>
  <si>
    <t>PA-DH-014-05</t>
  </si>
  <si>
    <t>Resolución de reglamentación técnica para las actividades de  quemas y venteos de gas.</t>
  </si>
  <si>
    <t>Integración de borrador de resolución de quemas y venteos con borrador de emisiones fugitivas</t>
  </si>
  <si>
    <t>Sesiones de trabajo con el área legal de la DH para resolver comentarios al proyecto de resolución integrado</t>
  </si>
  <si>
    <t xml:space="preserve">Se presentó RT a OAJ para viabilizar la publicación a comentarios </t>
  </si>
  <si>
    <t>Se presentó RT a todas las dependencias involucradas y esta en espera autorización de OAJ para publicación a comentarios.</t>
  </si>
  <si>
    <t>Nueva versión realizada en concordancia con comentarios de OAJ.</t>
  </si>
  <si>
    <t>PA-DH-015-01</t>
  </si>
  <si>
    <t>Documento conjunto de política sobre la ETH (MME OAAS, MME DH, ANH ETH) con la nueva estratégia</t>
  </si>
  <si>
    <t>Se iniciaron diálogos de acompañamiento con OAAS y ANH para tratar problemas del departamento del Putumayo. A la espera de lanzamiento de nueva ETH de la ANH.</t>
  </si>
  <si>
    <t>Se presentó la nueva ETH a través de la OAAS</t>
  </si>
  <si>
    <t>Empezó a implementar ETH através de la OAAS, actualmente se encuentra profunndizando estrategía en Putumayo, Meta y Casanare</t>
  </si>
  <si>
    <t>Empezó a implementar ETH através de la OAAS con apoyo de la DH ( cumplido en el mes de abril)</t>
  </si>
  <si>
    <t>Seguimiento a la implementación de cada uno de los PPIIs ¨Cronograma Kalé¨</t>
  </si>
  <si>
    <t>El MME expidió la Resolución No. 40011 de 2021, por la cual se modifica la Resolución No. 40185 de 2020, lineamientos técnicos para el desarrollo de los PPII. El SGC expidió los lineamientos técnicos para el muestreo y análisis de materiales radioactivos de origen natural en los PPII.</t>
  </si>
  <si>
    <t>Primer diálogo territorial en desarrollo de los PPII en Puerto Wilches – Santander. Instalación del Subcomité Técnico de Sismicidad, hidrogeología y Normatividad Técnica de los PPII.</t>
  </si>
  <si>
    <t>Ver avances de las actividades de este indicador en el cronograma</t>
  </si>
  <si>
    <t>PA-DH-015-02</t>
  </si>
  <si>
    <t>Centro de transparencia instalado y puesto en marcha</t>
  </si>
  <si>
    <t>Plataforma propia</t>
  </si>
  <si>
    <t>Mesas de trabajo con ECP para recibir el producto de diseño del Centro de Transparencia.</t>
  </si>
  <si>
    <t>Se trabajó en la formulación del Convenio tripartita entre ANH, UN, MME para ejecución y puesta en marcha del Centro de Transparencia.</t>
  </si>
  <si>
    <t>Se trabajó en los ajustes del convenio tripartito para entregar el CdT a la operación de la U Nacional, se ajustaron visualizaciones y contenidos con la U Nacional, se espera que la Nacional inicie operación del mismo en Mayo de 2020</t>
  </si>
  <si>
    <t>Se entregó y recibió el primer MVP</t>
  </si>
  <si>
    <t>PA-DH-03-07</t>
  </si>
  <si>
    <t>Contenido de azufre en diésel</t>
  </si>
  <si>
    <t>Durante el mes de abril de 2021, el diésel distribuido a nivel nacional presentó un contenido de azufre de 12,18 particulas por millón.</t>
  </si>
  <si>
    <t>En junio de 2021, el diésel distribuido a nivel nacional presenta un contenido de azufre de 18,4 particulas por millón.</t>
  </si>
  <si>
    <t>PA-DH-03-08</t>
  </si>
  <si>
    <t xml:space="preserve">Contenido de azufre en gasolina </t>
  </si>
  <si>
    <t xml:space="preserve">Durante abril de 2021, la gasolina distribuida en el país presentó un contenido de azufre de 52,83 particulas por millón.Este nivel de contenido de azufre en la gasolina que se distribuye a nivel nacional, indica que de acuerdo con lo establecido en el CONPES 3943 de 2018 para el mes de marzo de 2021 el nivel de azufre contenido es menor en un 47% del límite establecido en la norma vigente (100). </t>
  </si>
  <si>
    <t>En junio de 2021, la gasolina distribuida en el país presenta un contenido de azufre de 72,7 particulas por millón.</t>
  </si>
  <si>
    <t>PA-DME-01-01</t>
  </si>
  <si>
    <t xml:space="preserve">Aumentar la inclusión financiera   </t>
  </si>
  <si>
    <t>Gestión créditos  a través del convenio Finagro (DME-DFM-ANM)</t>
  </si>
  <si>
    <t>Créditos</t>
  </si>
  <si>
    <t>Documento digital</t>
  </si>
  <si>
    <t>Archivo digital DME</t>
  </si>
  <si>
    <t xml:space="preserve">Se articuló con la ANM la participación de FINAGRO en ANM Activa, con el fin de promover la línea en territorio, asistieron a Yopal en donde se realizaron 18 interacciones. Se recibió el primer informe del mes de enero para revisión. </t>
  </si>
  <si>
    <t>En proceso de elaboración del informe de seguimiento del mes de Diciembre y Enero. Se reactivaron las actividades de seguimiento semanal y supervisión. Se establecieron las acciones a adelantar con sus responsables. El 25-02-2021 Se realizó reunión de Seguimiento con el equipo de apoyo a la supervisión donde se establecieron acciones para fomentar los créditos. Finagro decide no asistir a Popayán, pero se concreta agendas de trabajo con los bancos.</t>
  </si>
  <si>
    <t>La secretaria Técnica en apoyo al Comité Administrativo, convoca la primera reunión trimestral del Comité en pleno, el cual se llevó a cabo el 15-03-201, se generan alertas ya que no se evidencian colocación de recursos provenientes de la LEC Minera, se generan compromisos estipulados en el acta.
El equipo técnico de Finagro, prestó apoyo en la supervisión del Convenio para lo cual se envían los comentarios y solicitudes sobre los informes mensuales presentados por Finagro</t>
  </si>
  <si>
    <t> En la información oficial de FINAGRO a través de su página web, al 30 de abril se ha ejecutado el 1% del presupuesto de la línea LEC MINERA, que corresponde a $ 24.671.650
Se realiza reunión extraordinaria a través de la Secretaría Técnica del Convenio FINAGRO del Comité Administrativo el 22-04-2021 para hacer seguimiento a los compromisos adquiridos, adicionalmente, se establece Definir con el Banco Agrario sobre la información que pueda remitir al MME y Finagro sobre cuantas personas están llegando al Banco a solicitar la LEC Minera, Realizar indicadores de seguimiento, Finiquitar los pendientes sobre los informes mensuales con las sugerencias realizadas e incluirlas en un capítulo del informe de marzo, Gestión de FINAGRO para  la legalización del Convenio sobre el web service con ANM e incluirá el cruce de información para identificar la bancarización en pro de la Lec Minera. Agendar reunión con el Fondo Nacional de Garantías FNG, para revisar la posibilidad de que puedan garantizar los créditos de la Lec Minera y validar cómo se puede estructurar.  DME, primera semana de mayo, Incluir cooperativas, Aso microfinanzas, identificar bancos pequeños, para promover la Linea Lec Minera, Apoyar a la CFA, incluir un contador de mineros interesados en la Linea Lec Minera, para lo cual se hará seguimiento y análisis en reuniones de seguimiento ordinarias, Seguir realizando las agendas con Gobernaciones, Secretarías de Minas, Agremiaciones, Bancos a través de las agendas programadas de DFM y DME, a las cuales el Comité Administrativo hará seguimiento, entre otras.</t>
  </si>
  <si>
    <t>En la información oficial de FINAGRO a través de su página web, al 31 de mayo se ha ejecutado el 1% del presupuesto de la línea LEC MINERA, que corresponde a $27.044.113. Al cierre de mayo, FINAGRO informa que se han colocado 4 créditos en total.
Se lograron actualizar y modificar los requisitos, que Banco Agrario solicitaba a los mineros, para apertura de cuenta y acceso a crédito los cuales estaban desactualizados.
FINAGRO, informó que hasta mayo, a través del link se registraron 93 personas interesadas en crédito, de los cuales 65 están en proceso de gestión de FINAGRO y 28 contactados.
Se siguen realizando las sensibiizaciones sobre LEC Minera, dirigidas a las entidades públicas como Departamento de Caldas, Gobernación de Antioquia conjuntamente con la DFM a través de la estrategia de fomento.</t>
  </si>
  <si>
    <t xml:space="preserve"> -Se realizó el tercer Comité Administrativo programado por Secretaría Técnica el 15 y 17 de junio 2021, se realiza seguimiento a compromisos, se planteó que Finagro realice un informe de gestión semestral, fecha tentativa 15-07-2021, entre otras.
- Se siguen adelantado reuniones para promocionar la LEC Minera, dirigidas a las entidades públicas conjuntamente con la DFM a través de la estrategia de fomento
-Se revisa informe mensual de FINAGRO del mes de abril y se emiten observaciones las cuales son enviadas a través de oficio por parte de las Supervisoras., en pro de la calidad de la información y la correcta ejecución del Convenio.
-Ejecución Lec Minera, se han colocado hasta el momento 5 créditos, con una ejecución presupuestal del 1% Subsidio de tasa: Presupuesto $ 2.695.149.181 Valor ejecutado $ 28.593.736</t>
  </si>
  <si>
    <t>PA-DME-01-02</t>
  </si>
  <si>
    <t>Convenio Banca de las Oportunidades (Linea base de inclusión financiera) formalizado  (DME- DFM- ANM)</t>
  </si>
  <si>
    <t>Instrumento</t>
  </si>
  <si>
    <t>Se concretaron las líneas de trabajo del convenio y fue aprobado 29-01-2021 por Min comercio - Min Hacienda - Min Agricultura -  DNP – BDO. En proceso reuniones con la ANM para empezar proceso contractual.</t>
  </si>
  <si>
    <t xml:space="preserve">CONVENIO: El 17-02-2021 se realiza reunión de con la ANM y se determina avanzar en la construcción técnica y jurídica del convenio. Se envió para revisión de la ANM y de BDO el lunes 23-02-2021. 
LÍNEA BASE: Se estableció cronograma de trabajo del proceso contractual. Se realizó la Ficha técnica del proceso de línea base, fue revisada por el equipo jurídico y se realizaron los respectivos ajustes. </t>
  </si>
  <si>
    <t xml:space="preserve">Se estructura la ficha de necesidad, con el fin de realizar el proceso contractual: “Adquirir el estudio de inclusión financiera y/o bases de datos que permitan al Ministerio de Minas y Energía contar con información estadística e indicadores relacionados con la bancarización para la implementación y apoyo de la estrategia de dinamización del mercado de títulos en el marco del proyecto de inversión "Mejoramiento de la competitividad para el desarrollo del sector minero a nivel nacional”.” el cual se firmó y radicó el 3-03-2021.
Se realiza la solicitud de cotización, el memorando y el anexo económico para dar paso con el estudio de mercado correspondiente.
Posterior a los resultados del estudio de mercado, se realizan los estudios previos correspondientes.
El 10-03-2021 se realizó la presentación a contractual del convenio, el cual fue avalado y revisado por el equipo jurídico asignado. Para la segunda semana de abril se realizarán las mesas de trabajo para validar el convenio final y proceder a la revisión de Bancoldex y los jurídicos de ANM y MME. </t>
  </si>
  <si>
    <t xml:space="preserve"> El 13-04-2021 se realiza mesa de trabajo con BDO, ANM, MME para revisión y concertación del alcance, obligaciones y entregables del Convenio tripartito, ANM realiza el Estudio Previo, el cual es validado por MME quien estructura el Estudio Previo con base en los acuerdos, en su formato interno para ser evaluado por contractual y seguir con el proceso. </t>
  </si>
  <si>
    <t>En el proceso adelantado SMC-005-2021 para contratar la base de datos de inclusión finaniera, los proponentes TransUnion (CIFIN SA) y Experian no subsanaron conforme a las condiciones requeridas, por lo cual el proceso se declaró desierto por resolución del 14-05-2021 y notificación 28-05-2021. Conforme a los tiempos legales se realizará el proceso nuevamente.
Se realizan y ajustan los EP del Convenio entre BDO-ANM-MME, en el formato del MME y respetando las cláusulas convenidas entre las partes, se espera continuar el proceso con el área jurídica de MME.</t>
  </si>
  <si>
    <t>Los documentos del convenio se radicaron el 3-06-2021 en contractual. El martes 29 de Junio 2019, el comité de contratos del Ministerio de Minas y Energía aprobó el convenio del BDO y por consiguiente pasar a minuta. Se solicitaron los siguientes ajustes que fueron remitidos a la ANM:
1.       Clausula sexta: Se aclara el delegado del Ministerio de Minas y Energía:  Representante o profesional de la DME asignado por el Director de Minería Empresarial
2.       Se elimina la función del supervisor e: Proyectar el acta de liquidación del convenio si hay lugar a ello. Ya que el convenio no se liquida 
3.       Se retira la cláusula vigésima novena ya que el convenio no se liquida al no tener recursos</t>
  </si>
  <si>
    <t>PA-DME-01-03</t>
  </si>
  <si>
    <t>Implementación Mecanismo Único de Verificación (VICE- ANM)</t>
  </si>
  <si>
    <t>Mecanismo</t>
  </si>
  <si>
    <t>La ANM se comprometió a entregar el MUV el 25-01-2021, y presentarlo en el marco de la reunión con Asobancaria. Lanzamiento el 10 de febrero de 2021</t>
  </si>
  <si>
    <t>Reunión el 10 de febrero con Asobancaria en la que se realizó el lanzamiento del Web Servicie y Muv. Se acordó: a) Agendas con bancos para capacitaciones a los oficiales de cumplimiento sobre Minería y las herramientas de control del sector (WebService – Muv – Rucom – Génesis). B) Realizar acuerdos de confidencialidad para implementar el Webservice (ANM) c) Solicitar Matrices de riesgos para análisis de la evaluación de qué mecanismos utiliza el sector para mitigar estos riesgos y evaluar cuáles contingencias
El 24-02-2021 se realizó con éxito la primera Agenda (virtual) con entidades financieras. Cooperativa Financiera de Antioquia (CFA) recibió sensibilización en el sector minero.
La ANM ha participado activamente en las sensibilizaciones se resalta el apoyo de Titulación y del personal de sistemas en este ejercicio. 
El 26-02-2021 se realizó la presentación de los avances en el MUV, WebService y la estrategia, a la SFC quien reunió a los Jefes y otros vinculados como las cooperativas que no pertenecen a Asobancaria. Se concretó ejecución de agendas con bancos, en donde el Superintendente se comprometió a acompañarnos</t>
  </si>
  <si>
    <t>Para el mes de marzo se realizaron 5 agendas con los bancos y se sensibilizaron un total de 77 personas de las áreas de riesgo, en temas relacionados con el sector Minero y en las herramientas de Web-Service y Muv y Guías metodológicas. Los bancos fueron: Banco Agrario, Banco Popular, banco de la República y Banco Davicienda
CFA está evaluando implementar el convenio y utilizar el Web-Service.
El 10 de marzo se enviaron a través de Asobancaria los convenios de Web-Service y Muv para ser remitidos a los Bancos.
Para el mes de abril se espera agenda de “Alto Nivel” con ITAÚ y Bancolombia, dada su importancia para el sector y la manifestación de algunos mineros sobre el cierre de cuentas de estos dos bancos.</t>
  </si>
  <si>
    <t>En este momento se encuentran en revisión en contratación para la firma del vice 2 convenios ya firmados por las entidades financieras Cooperativa financiera de antioquia y el banco cooperativo central, pendiente aprobación de a ANM</t>
  </si>
  <si>
    <t>A la fecha se encuentran cuatro convenios en análisis del área jurídica de la ANM: Cooperativa Financiera de Antioquia, Banco Cooperativo Central, BBVA y Banco Itaú.</t>
  </si>
  <si>
    <t>A la fecha se encuentran cuatro convenios en análisis del área jurídica de la ANM: Cooperativa Financiera de Antioquia, Banco Cooperativo Central, BBVA y Banco Itaú.
La Directora Tatiana solicitó agilizar los trámites a la oficina de presidencia de la ANM</t>
  </si>
  <si>
    <t>PA-DME-01-04</t>
  </si>
  <si>
    <t>Viabilización de mecanimos de financiamiento diferentes a banca (DME)</t>
  </si>
  <si>
    <t xml:space="preserve">Se entregó el resumen del registro de Facturas como preparatorio para la reunión de la Viceministra con hacienda. </t>
  </si>
  <si>
    <t xml:space="preserve">Se está trabajando en la estructuración del modelo a contratar en las sensibilizaciones y la implementación de los mecanismos de sensibilización diferentes a Banca
Equipo de trabajo contratado el 16-02-2021. </t>
  </si>
  <si>
    <t>Se presenta el plan de trabajo para REPO/CDM y el Registro de Facturas, para el cual se estará actualizando el cronograma conforme a los avances y requerimientos.
Se realizan reuniones con el equipo técnico y apoyo jurídico para determinar tareas, para lo cual se envían los documentos que permitan avanzar en la modificación del Decreto 1555 de 2017, para que se incluya al sector minero, con el fin de promover un piloto en Registro de Facturas, se envían
Se presenta el plan de trabajo para REPO/CDM, para el cual se estará actualizando el cronograma conforme a los avances y requerimientos.
Se programan y ejecutan reuniones con la BMC para determinar el Estado de la articulación a la fecha en REPOS/CDM para empresas carboneras y las mesas de trabajo para fuentes de precios de materiales de construcción y gravas, a fin de promover un piloto en alguna de estas empresas para negociar repo/CDM. Se establecen compromisos.
El factoring está incluido en las sensibilizaiones sobre las gúias metodológicas del mercado de capitales incluido en el punto de "sensibilizaciones"
Se realiza sensibilización con la Asociación Colombiana de Minería, en donde se les presenta la estrategia de inclusión financiera y los avances en el pilar de financiación, se hace la presentación y explicación sobre la Guía Metodológica del Mercado de Capitales, para que conozcan la herramienta y puedan acceder a algunos de los mecanismos como los repos/CDM.</t>
  </si>
  <si>
    <t xml:space="preserve"> Se realiza la ficha de necesidades para el mercado SPOT para consumo interno, se analiza os argumentos sobre el porque el mejor aliado es la BMC tomando como base la información de la Superfinanciera a través de SIMEV y se ralizan reuniones, para determinar la posibilidad de realizar un contrato o convenio interadministrativo von BMC
Se reprograman reuniones con las empresas carboneras para explicarles los mecanismos de financiaciación y desperatr el interés en los repos/CDM de BMC y la ficha de calidades para carbón que son suceptibles de negociar en este mecanismo
Posterior al envío de la Memoria Justificativa, la Propuesta de Ajuste al decreto 1555 de 2017 y los considerandos, se esperan los acercamientos con Min Hacienda de la Dirección para que se incluya el capítulo del sector minero en el Decreto 1555/2017
Se realizan reuniones con  FEDESMERALDAS, ACM, entre otras para explicarles la estrategia de inclusión financiera y las guías metodológicas del mercado de capitales. </t>
  </si>
  <si>
    <t>Se propone realizar un convenio o contrato interadministrativo con la Bolsa Mercantil de Colombia (BMC) que permita realizar la herramienta de negociación para el carbón de consumo interno; se presentan los argumentos a la Directora y el área jurídica del Ministerio el cual aprueba esta opción, se generan compromisos para adelantar el proceso y se espera la propuesta tecnico-económica de BMC.
Sigue pendiente la reprogramación de las agendas con las empresas carboneras para sensibilizar los mecanismos de financiación y despertar el interés en los repos/CDM de BMC y la ficha de calidades para carbón que son susceptibles de negociar en este mecanismo.
Sigue pendiente la reprogramación de la reunión con Min Hacienda para que se incluya dentro de los puntos a tratar, la modificación del Decreto 1555 de 2017 y se pueda vIiabilizar el Registro de Facturas en Bolsa Mercantil de Colombia (BMC)</t>
  </si>
  <si>
    <t>REPOS PARA CARBÓN TÉRMICO: se requiere gestionar cupo en BMC: Se realizó el seguimiento con BMC, se envía información del carbón térmico, BMC indica que se debe realizar reunión con experto en carbón térmico y con los AGD (Almacenes Geberales de Depósitp que emiten el certificado con que se negocian los repos) pendiente de gestionar la reunión 29 o 30 de julio o primera semana de agosto.
REGISTRO DE FACTURAS: Sin avance, sigue pendiente la reunión con Min Hacienda-Directora para poder incluir modificación del Decreto 1555 de 2017, donde se incluya al sector minero. Este Decreto viabiliza los beneficios del Registro de Facturas En BMC
MECANISMO MDO SPOT: Se realizaron diferentes reuniones con BMC, igualmente con UPME, Jhon T Boyd para revisar los términos de referencia propuestos por DME y las alianzas para la información requerida. BMC entrega propuesta técnico económica la cual es analizada por el equipo técnico para definir el avance del proceso contractual.
MILPA: Se realiza seguimiento, ya que MILPA fue aprobada para hacer parte del piloto del CONPES de transición energética. OAAS envió correo a MinAmbiente para la visita a los proyectos, está pendiete la reunión.
BRICOLSA: Se está realizando el acompañamiento en las reuniones, con la Bolsa de Toronto y Banquero Canadiense sobre el proyecto que buscan apalancar. El tema sigue avanzando
FACTORING: Se tuvo reunión para ampliar información sobre factoring, como mecanismo que ayuda a promover la liquidez de las empresas. Se está programando un foro, que incluya el tema y se amplie la información para las empresas mineras que contribuya con el cierre de brechas.</t>
  </si>
  <si>
    <t>PA-DME-01-05</t>
  </si>
  <si>
    <t>Sensibilización cierre de brechas mercado de capitales (DME- ANM- UPME)</t>
  </si>
  <si>
    <t>Programadas para el mes de Abril</t>
  </si>
  <si>
    <t>Se está trabajando en la estructuración del modelo a contratar en las sensibilizaciones y la implementación de los mecanismos de sensibilización diferentes a Banca</t>
  </si>
  <si>
    <t>Se estructura la ficha de necesidades del proceso contractual para las sensibilizaciones sobre las Guías Metodológicas del Mercado de Capitales.
Las sensibilizaciones pretenden despertar el interés acerca de los mecanismos de financiación que existen en el mercado de capitales, para promover un piloto en alguno de ellos.</t>
  </si>
  <si>
    <t> Se estructura la ficha de necesidades para la sensibilización de las Gúias Metodológicas del Mercado de Capitales, la cual quedó radicado en contractual el 23-04-2021 para seguir adelantando el proceso.
Estas sensibilizaciones se enfocan en el acceso a mecanismos de financiación del mercado de capitales, a través de la ejecución de doce (12) jornadas de sensibilizaciones virtuales en el territorio nacional.
Así mismo; con el fin de avanzar en la implementación de mecanismos diferentes a banca, posterior a las sensibilizaciones, se realizarán ocho (8) sesiones de trabajo y acercamiento con inversionistas, Bolsa de Valores de Colombia, Bolsa Mercantil de Colombia, Toronto Stock Exchange y/o comisionistas de bolsa, que promuevan el entendimiento común de las necesidades del sector financiero y la adopción de herramientas de financiación disponibles en el mercado de capitales.</t>
  </si>
  <si>
    <t>Se dio inicio a proceso para la contratación de las Sensibilizaciones de las Guías Metodológicas del Mercado de Capitales, se estructuró la ficha técnica, el estudio previo, la solicitud de cotización y se dio inicio al sondeo de mercado el 25-05-2021 en SECOP II proceso: SIP-039-2021</t>
  </si>
  <si>
    <t>Siguió avanzando el proceso con éxito, se realizó el estudio de mercado correspondiente, el cual culminó el 18-06-2021, se presentaron cuatro (4), el resultado del análisis mencionado se recibió el  29 de junio, se estructuró estudio previo con antelación, está en revisión y falta incluir el análisis de indicadores financieros y organizacionales Dr. Garay.</t>
  </si>
  <si>
    <t>PA-DME-01-06</t>
  </si>
  <si>
    <t>Gestión créditos no uso de mercurio - minería de oro (Confiar) (DFM)</t>
  </si>
  <si>
    <t xml:space="preserve">PNUD avanza en la firma de alianzas con el CFA para el cumplimiento de la meta </t>
  </si>
  <si>
    <t xml:space="preserve">Equipo de trabajo contratado el 16-02-2021. </t>
  </si>
  <si>
    <t>Conciliación jurídica del Clausulado del documento del Acuerdo de Partes</t>
  </si>
  <si>
    <t> Conciliación Jurídica FInalizada, en proceso de generación de documento técnico por parte de la Cooperativa Financiera de Antioquia</t>
  </si>
  <si>
    <t>Conciliación Jurídica FInalizada, en proceso de generación de documento técnico por parte de la Cooperativa</t>
  </si>
  <si>
    <t>Se recibió la propuesta técnica por parte de la Cooperativa Financiera de Antioquia para adelantar el proyecto. Se revisará por parte del proyecto planetGOLD para proceder a firma del acuerdo.</t>
  </si>
  <si>
    <t>PA-DME-01-07</t>
  </si>
  <si>
    <t>Banco de Proyectos potenciales para financiamiento diferente a banca (DME- ANM)</t>
  </si>
  <si>
    <t>Banco</t>
  </si>
  <si>
    <t>Se programó reunión para articulación con la ANM, se presentó proyecto a la Viceministra quien avaló su ejecución, previa articulación con ANM</t>
  </si>
  <si>
    <t>Se realizó reunión con la DFM y el equipo consultor de Fomento concluyendo que esta iniciativa es uno de los servicios propuestos para trabajar en el Sector. Por lo cual podría establecerse su priorización con el BID y trabajar articuladamente con la ANM. Para el avance se realizó lo siguiente:
9-03-2021: Se realizó reunión con ANM para revisar la posible articulación para ejecutar el Banco de proyectos, pendiente reunión con Promoción
18-03-2021: se revisó con la ANM la posibilidad de hacer el banco de proyectos, sin embargo es importante revisar la articulación con el BID</t>
  </si>
  <si>
    <t xml:space="preserve"> El 23-04-2021 Se envió propuesta de Banco de proyectos a la DFM, se realizó la reunión con esta área para viabilizar su funcionamiento. La DFM realizó solicitud a la viceministra el 29-04-2021. 
El 28-04-2021 se revisó también la articulación con USAID, quien manifestó que es posible revisar el proyecto siempre y cuando esté alineado con los objetivos de USAID. </t>
  </si>
  <si>
    <t>20-05-2021: Se realizó la propuesta TRD del banco de proyectos al BID como proyecto posiblemente financiado con esta entidad. Se realizó la explicación del proyecto a la consultoría que adelanta la DFM en su fase final. Se espera que con los recursos del BID se pueda trabajar el banco de proyectos conjuntamente con DFM-ANM-DME.</t>
  </si>
  <si>
    <t>El 16/06/2021 el BID confirma que el Banco de proyectos fu aprobado para ser financiado por esta entidad, por lo cual el 22/06/2021 se procede a la revisión y complemento de TRD por parte del equipo técnicoy se radica el 25-06-2021 con el número 2-2021-011879
El BID asignó 300 millones a través de convocatoria, por solicitud del BID se ajusta el tiempo de ejecución de la consultoría de 6 a 4 meses y se incluyó información para que el contratista pueda consultar documentos relevantes. También, se realizará reunión con ANM para revisión de tecnología para el Banco</t>
  </si>
  <si>
    <t>PA-DME-01-08</t>
  </si>
  <si>
    <t>Diseño de SARLAF para el sector minero (UPME- ANM-DME- DFM- VICE)</t>
  </si>
  <si>
    <t>Modelo</t>
  </si>
  <si>
    <t>Se adelantaron las reuniones para la definición de las actividades a desarrollar con la consultoría para el Diseño de SARLAFT</t>
  </si>
  <si>
    <t>Banco de proyectos (Sandbox)  Se encuentra en proceso reunión para establecer la articulación con la ANM la cual se hará el 9-03-2021</t>
  </si>
  <si>
    <t>El MME adelantó los acercamientos y apoyos para la cooperación con el diseño del SARLAFT, logrando:
o PNUD: Confirmó y separó presupuesto para capacitaciones
o BGI: En trámite TDR para apoyar a la ANM en los aspectos de SARLAFT de corto plazo
o Min Justicia: Se envió correo de intención para iniciar el proceso de supervisores
o INL: Confirmado el apoyo para el SARLAFT 
Se espera avanzar con el diseño en el mes de Abril.</t>
  </si>
  <si>
    <t xml:space="preserve"> Se gestionó apoyo de cooperación para el diseño de medidas para la prevención, monitoreo y control de riesgos LAFT que pueda aplicar la ANM en sus proceso de contratación y seguimiento (fiscalización), para lo cual nos encontramos a la espera de concretar el apoyo requerido mediante la contratación de expertos en la materia para avanzar en el desarrollo y definición de medidas.  </t>
  </si>
  <si>
    <t xml:space="preserve">Se sostuvo reunión de retroalimentación, coordinación y revisión de avance con firma consultora para el análisis y prevención de riesgos LAFT, en el marco de los procesos de contratación y fiscalización minera, desarrollador por la Agencia Nacional de Minería (ANM), en relación al primer entregable: Documento de diagnostico y mapa de riesgos de la actividad minera de metales preciosos de acuerdo con su clasificación y categorías definidas, principalmente. </t>
  </si>
  <si>
    <t>PA-DME-01-09</t>
  </si>
  <si>
    <t>Construcción de guías Metodologicas (sector financiero para sector minero) (VICE)</t>
  </si>
  <si>
    <t>Guia</t>
  </si>
  <si>
    <t>Se está definiendo la forma de cooperación de BGI que incluye la elaboración de las Guías</t>
  </si>
  <si>
    <t>El 15-02-2021 se presentó propuesta de Diseño de SARLAFT a los cooperantes.</t>
  </si>
  <si>
    <t>En proceso de definición de cronograma y estructura con el cooperante BGI de la cooperación económica de la embajada de Suiza en Colombia.</t>
  </si>
  <si>
    <t> BGI de la Embajada Suiza remite la guía prelimiar editada para revisión y ajustes finales, de ser el caso. Se valida uso de logo del MME. Se espera que en el próximo mes se cuenta con la guía finalizada para divulgación masiva.</t>
  </si>
  <si>
    <t>Durante este periodo no se realizó socialización de las guías metodológicas del sector minero. No obstante, en este mes se avanzó en la definición de detalles de forma para su finalización, toda vez que, para el mes de junio se espera contar con la guía definitiva editada, para lo cual se realizará un evento virtual de lanzamiento ,con el público objetivo principal de uso de herramienta, principalmente.</t>
  </si>
  <si>
    <t xml:space="preserve">Se continúa con apoyo de BGI y BSD de la embajada Suiza, la construcción de las guías metodológicas del sector financiero. </t>
  </si>
  <si>
    <t>PA-DME-02-01</t>
  </si>
  <si>
    <t xml:space="preserve">Elevar el número de estándares y  buenas prácticas implementados en el sector minero   </t>
  </si>
  <si>
    <t>Lineamientos de presas de relave y drenajes ácidos socializados</t>
  </si>
  <si>
    <t>Sociallizaciones</t>
  </si>
  <si>
    <t>1- Se realizó actividades relacionadas con los pagos pendientes a la empresa consultora ATG. Ltda.
2- Se enviaron comentarios a la empresa consultora ATG Ltda. relacionados con las cartillas de Presas de Relaves y drenajes Ácidos.
3- Se enviaron los productos de la consultoría (lineamientos y cartillas) a dependencias internas del Ministerio y entidades externas.</t>
  </si>
  <si>
    <t>Se realizó socialización a la Viceministra de Minas y al Presidente de la ANM, el 24 de febrero de 2021 a través de reunión virtual.</t>
  </si>
  <si>
    <t>1. Se solicitó a Comunicaciones y Prensa la publicación en la WEB del Ministerio de los documentos de los lineamiientos (Informes y cartillas).
2. Se realizó la programación de los cuatro (4) eventos para la socialización de los lineamientos durante los meses de abril, mayo, junio y julio.
3. El Grupo de Comunicaciones y Prensa elaboró la pieza publiictaria para el evento de socialización.
4. Se elaboró el lista de invitados para el primer evento de socialización el cual será dirigida para la región norte de Colombia.</t>
  </si>
  <si>
    <t>1. Se realizó el evento de socialización programado para el 22 de abril de 2021, en donde se presentaron las propuestas de lineamientos técnicos de política de buenas prácticas para estandarizar  proceso de minería relacionados con Presas de Relaves y Drenaje Ácido Minero.
2. Se realizó el planeamiento del próximo evento de socialización que se programó para el 27 de mayo de 2021 en donde solo se presentará los lineaminetos de política de buenas practicas para Presas de Relaves. El público invitado será todo el sector de la minería y entidades relaciondas e interesadas. </t>
  </si>
  <si>
    <t>Se realizó el evento de socialización programado para el 27 de mayo de 2021, en donde se presentó la propuesta de lineamientos técnicos de política de buenas prácticas para estandarizar  proceso de minería relacionados con Presas de relaves.</t>
  </si>
  <si>
    <t>Se realizó el evento de socialización programado para el 24 de junio de 2021, en donde se presentó la propuesta de lineamientos técnicos de política de buenas prácticas para estandarizar  proceso de minería relacionados con Presas de relaves. Este evento fue organizado por la Dirección de Formalización Minera para la Gobernación de Caldas dentro del marco de Fomento Minero en su línea estratégica de asisitencia técnica a la pequeña minería.</t>
  </si>
  <si>
    <t>PA-DME-02-02</t>
  </si>
  <si>
    <t>Afianzar la cooperación internacional para adquirir buenas prácticas de operación y estándares para la mediana y pequeña minería.</t>
  </si>
  <si>
    <t>Alianza</t>
  </si>
  <si>
    <t>Sin avance a la fecha. En proceso de empalme entre grupos internos de trabajo</t>
  </si>
  <si>
    <t>Se realizó reunión de empalme definitiva el 4 de febrero. Se participó en la mesa de coordinación de cooperación internacional del Ministerio y el curso "Roles del asesor: Manejo de herramientas y comunicación asertiva con entidades de cooperación". En proceso la generación de la estrategia enfocada a las necesidades sector.</t>
  </si>
  <si>
    <t>Se trabajó con el equipo de cooperación internacional en el empalme y revisión de las actividades que se tienen a la fecha y en la posible estrategia para el 2021. Así mismo se revisaron los documentos relacionados con cooperación internacional.  Se preparó la presentación para la aprobación de la directora de los temas a trabajar en el 2021</t>
  </si>
  <si>
    <t xml:space="preserve"> El 16 de abril de 2021 se realizó reunión con representantes del Ministero de Minas de Perú y el equipo de Cooperación internacional de la DME,  posteriormente  la DME  priorizó temas a desarrollar en el marco de la Cooperación y se planteo premura dado el cambio de administración en julio, asi mismo se estructuró propuesta de plan de trabajo y se envió a Esperanza Enrriquez - GAI- el 30-04-2021, para que como es el conducto regular se envie a traves de ella al Ministerio de Perú a efecto de obetner la respectiva retroalimentación e iniciar la Cooperación.
Se realizó reunión con USAID 28-04-2021. Temas tratados: 
Revisar la participación y alineación dentro del MME (Nora)
Revisar la posibilidad de que el programa de Educación Financiera con USAID para el sector minero 
Programar reunión con ANM –BDO – MME – USAID para revisar el tema 
Banco de proyectos, es posible revisar el proyecto siempre y cuando esté alineado con los objetivos de USAID.
Recursos preferenciales para el sector: Fondo de inversión para el desarrollo de Minería verde (Reunión para revisar) - Pequeña Minería y Mediana Minería si atrae mineros a la legalidad.
           Estándar de Recursos y Reservas: Colateral para el tema financiero 
           Trazabilidad: Para reducir el riesgo operacional y reputacional para la banca.
           Garantías  </t>
  </si>
  <si>
    <t xml:space="preserve">Posible Alianza con CHILE: Dado lo expuesto en abril, la oficina de Cooperación Internacional del MME nos manifestó hoy 01 de junio que fue aplazado el encuentro de presidentes Chile -Colombia justificado en la situación de orden público que estamos presentando y aún no han definido fechas. Dado lo anterior, estaremos a la espera para continuar avanzando en la propuesta de temas enviado por parte de la DME.                                                         
Memorando de entendimiento sobre Cooperación en el Campo de Minería de Oro, Plata, Cobre y Demás Minerales Metálicos y no Metálicos; y Desarrollo Sostenible de Energías Renovables - PERÚ: Durante el mes de mayo el equipo de Cooperación Internacional de la DME estuvo pendiente de la evaluación de la propuesta planteada, no obstante al 25 de mayo de 2021 el país cooperante no ha allegado tal análisis, en averiguaciones con la encargada del equipo GAI- Esperanza Enríquez refirió que:  tras comunicarse con la persona encargada en Perú indicaron que se encontraban avanzando en temas de empalme por cambio de administración y por tanto no han tenido espacio para hacer el análisis. A la espera de recibir retroalimentación.                                            </t>
  </si>
  <si>
    <t>1. Posible Alianza con CHILE: Aún en espera, más sin embrago, se propuso a la Oficina de Asuntos Internacionales del MME averiguar, ser nuestro puente y tener acercamientos con entidades como lo son en Colombia SGC y ANM pero en Chile para evaluar la posibilidad de realizar intercambio de información y experiencias en los temas estrategicos de la DME.                                                                                             2. Memorando de entendimiento sobre Cooperación en el Campo de Minería de Oro, Plata, Cobre y Demás Minerales Metálicos y no Metálicos; y Desarrollo Sostenible de Energías Renovables - PERÚ: Desde el Ministerio de Minas de Perú el día 08 de junio del 2021 aprobaron los temas enviados por parte de Colombia y propusieron fechas cercanas a cada tema dada la coyuntura de cambio de gobierno; el 17 de junio se les envió aprobando algunas fechas y ajustando otras, no obstante. el 21 de junio manifiestan que una de las profesionales encargadas y que nos ha acompañado en este proceso se encuentra de vacaciones entonces nos encontramos a la espera de la respuesta por parte de Perú con la propuesta de las nuevas fechas de trabajo.                                                                                              
3. Otros países que se están evaluando trabajar los temas estratégicos de la DME son: a.Uruguay que se está a la espera que los coordinadores nos regalen sus aportes a más tardar el 07 de julio de acuerdo al correo enviado por Sandra Niño el 01 de julio, dado que se debe dar respuesta por tarde el 09 de julio del 2021. b. Sudafrica. Analizar la propuesta de MOU, para ello el día miercoles 07 de julio se sostendrá reunión con el equipo de cooperación internacional de la DME. c. Bolivia. En la reunión de equipo el día 07 de julio se evaluará si existe la posibilidad de trabajar algún tema estrategico con dicho país, teniendo en cuenta que desde el Ministerio de Bolivia se tiene el interés.  
4. Con USAID se está trabajando la posibilidad de apoyar temas de inclusión financiera                      
Nota: Para todo este proceso de cooperación internacional, es importante mencionar que se realizó el día 25 de junio articulación con la OAI del MME y fue un gran insumo para los últimos aportes al protocolo de cooperación internacional de la DME que se encuentra ya en la versión final para revisión y socialización con el equipo de cooperación de la DME y proceder a presentárselo a la directora.</t>
  </si>
  <si>
    <t>PA-DME-02-03</t>
  </si>
  <si>
    <t>Lineamientos de fiscalización minera realizado</t>
  </si>
  <si>
    <t>Lineamiento</t>
  </si>
  <si>
    <t>Se socializó Resolución No. 40008 del 14/01/2021, con el Grupo de Administración del Recurso y con la ANM</t>
  </si>
  <si>
    <t>Meta Cumplida</t>
  </si>
  <si>
    <t>Meta Cumplida.</t>
  </si>
  <si>
    <t>PA-DME-02-04</t>
  </si>
  <si>
    <t>Lanzamiento Agendas subsectores esmeraldas, materiales de construcción e industriales, oro y polimetalicos</t>
  </si>
  <si>
    <t>Agenda</t>
  </si>
  <si>
    <t xml:space="preserve">Las agendas no han sido formalmente lanzadas. Responsables: Oro: por definir. Materiales de Industriales y de Construcción: Juan Carlos Alcalá. Esmeraldas: Sebastián Alarcón </t>
  </si>
  <si>
    <t xml:space="preserve">Ya se definieron responsables y se tuvieron reuniones con gremios para trabajar en agendas de carbón y exploración. </t>
  </si>
  <si>
    <t>Agendas continuan siendo depuradas. Se realizaron reuniones con gremios en las agendas de Oro, Esmeraldas y Materiales de construcción. Aún está pendiente el lanzamiento de estas agendas.</t>
  </si>
  <si>
    <t xml:space="preserve">3 agendas mencionadas presentaron avances en seguimiento, incluyendo socializaciones de inclusión financiera con gremios. También se realizó la verificación de los hitos del primer trimestre. Aún está pendiente el lanzamiento de estas 3 agendas. Se espera lanzamiento de MACO en mayo, en alianza con ANM. </t>
  </si>
  <si>
    <t>Aún está pendiente el lanzamiento de estas 3 agendas. Se tiene una presentación para realizarlo de cada una de ellas. Se debe programar esta socialización. No obstante, se ha coordinado con ANM y se siguen avanzando en este marco de trabajo.</t>
  </si>
  <si>
    <t xml:space="preserve">Aún está pendiente el lanzamiento de estas 3 agendas. Se tiene una presentación para realizarlo de cada una de ellas. Estas presentaciones ya tienen las acciones que están realizando las adscritas, como la ANM. Las agendas han empezado a ser mencionadas en los canales de comunicación pero no se han lanzado formalmente.  </t>
  </si>
  <si>
    <t>PA-DME-02-05</t>
  </si>
  <si>
    <t>Promover adopción de estandares de presas de relaves y drenajes ácidos</t>
  </si>
  <si>
    <t xml:space="preserve">Estandares </t>
  </si>
  <si>
    <t xml:space="preserve">1- Se acordó con la Directora - Dra. Tatiana  que antes de enviar formalmente a la ANM para su adopción, se debe realizar una reunión con la presencia del Presidente de la ANM y la Vicemin istra para exponerle el tema.
2- Se realizó reunión con la Viceministra de Minas el 26 de enero, en la cual se le expuso los productos de la consultoría. Se acordó que la empresa consultora le hará una presentación a ella y al Presidente de la ANM en el mes de Febrero. Aprobó el trabajo y las acciones siguientes como las de socialización y solicitud a la ANM para que adopte los mismos como estándares.
</t>
  </si>
  <si>
    <t>Reunión con Presidente y Vicepresidente de Seguimiento y Control de la ANM, donde la directora Dra. Tatiana les manifestó la importancia de que adopten formalmente estos estándares. En proceso de elaboración de comunicación formal dando a conocer los productos y pidiendo la adopción de los mismos.</t>
  </si>
  <si>
    <t xml:space="preserve">1. Se enviaron mediante comunicación formal los documentos de los lineamientos elaborados a las entidades ANM, UPME y SGC.
2. Se programó reunión con el Vicepresidente de Seguimiento y Control de la ANM, y la directora Dra. Tatiana para conocer la hoja de ruta de la adopción de los lineamientos por parte de la ANM. </t>
  </si>
  <si>
    <t>1. Se envió comunicación al presidente de la ANM en donde se le informó que desde la DME "Estamos muy interesados en conocer la hoja de ruta y plan de trabajo para la implementación de estos lineamientos técnicos de buenas prácticas, y confiamos que bajo su liderazgo den origen a los estándares necesarios que permitan mejorar la actividad minera apoyados en un aumento de la productividad y la seguridad, con el resultado esperado del mejoramiento de la competitividad del sector minero a nivel nacional." . Hasta la fecha no hemos recibido respuesta.
2. Se dió a conocer a los profesionales de la DME, a la DFM, OASS del vínculo para acceder a los documentos finales y cartillas de los lineamientso que fueron puestos en la página WEB del Ministerio.  </t>
  </si>
  <si>
    <t>1. Se continúa a la espera de la respuesta por parte de la ANM sobre la comunicación enviada a su presidente donde se le informa que la DME está interesada en conocer la hoja de ruta y plan de trabajo para la implementación de estos lineamientos técnicos de buenas prácticas.
2. Se compartió con todos los asistentes al evento de socialización del 27 de mayo, el vínculo para acceder a los documentos finales y cartillas de los lineamientos que fueron puestos en la página WEB del Ministerio.</t>
  </si>
  <si>
    <t>1. Se continúa a la espera de la respuesta por parte de la ANM sobre la comunicación enviada a su presidente donde se le informa que la DME está interesada en conocer la hoja de ruta y plan de trabajo para la implementación de estos lineamientos de buenas prácticas.
2. Se compartió con todos los asistentes al evento de socialización del 24 de junio, el vínculo para acceder a los documentos finales y cartillas de los lineamientos que fueron puestos en la página WEB del Ministerio.</t>
  </si>
  <si>
    <t>PA-DME-02-06</t>
  </si>
  <si>
    <t>Reglamentar cierre de minas</t>
  </si>
  <si>
    <t>Decreto</t>
  </si>
  <si>
    <t xml:space="preserve">Elaboración documento de lineamientos de Cierre de Minas 
Pendiente tramite a seguir con Decreto de cierre de minas </t>
  </si>
  <si>
    <t>Se pasó el documento realizado en 2014 sobre lineamientos de politíca  para actualizar.
Se socializo proyecto de decreto de cierre de minas con ACM
Pendiente concepto de MADS, 
Pendiente concepto de OAJ, para redacción del Decreto</t>
  </si>
  <si>
    <t>Se continua con elaboracion de proyecto de decreto de ciere de mias
Se socializo con MADS, el proyecto, no an enviado comentarios
pendiente tramite a seguir respecto a participacion de MADS</t>
  </si>
  <si>
    <t>Se llevó a cabo reunión con ACM sobre el decreto, quienes hicieron comentarios en aspectos como: garantía, según ACM debe ser por ley y no hay hoy en día facultad para ello (Debatible). 2. Revisar la provisión contable en vez de hacer aprovisionamientos que resultan insostenibles para el sector. 3. Revisar las escalas de minería: debe ser diferencial.
- La DME se reunió y encontró afinidad en varios de los puntos planteados por la ACM, para lo cual revisará el tema jurídico. Así mismo con cooperación internacional ver la posiblidad que el BM financie un estudio sobre aprovisionamiento donde se tenga en cuenta a los pequeños mineros. </t>
  </si>
  <si>
    <t>No se continuará con el proyecto de Decreto.
Se trabaja conjuntamente con la ANM, direccion de estudios tecnicos en la elaboracion de los Terminos de Referencia para cierre de minas.
Pendiente de  definir como se tratara el tema financiero de aprovisionamiento de recursos para los planes de cierre de minas, se realizan mesas de trabajo quincenales.</t>
  </si>
  <si>
    <t>Se continua trabajando conjuntamente con la ANM, Direccion de Estudios Técnicos en la elaboracion de los Terminos de Referencia para cierre de minas. se realizan mesas de trabajo quincenales.
Analisis donde ser revisaron las fórmulas presentadas en el estudio de la Upme y la fórmula del Dto. para calculo de aprovisionamiento de recursos para plan de cierre.
Pendiente de definir como se tratara el tema financiero de aprovisionamiento de recursos para los planes de cierre de minas.</t>
  </si>
  <si>
    <t>PA-DME-02-07</t>
  </si>
  <si>
    <t>Estrategia para el aprovechamiento de estériles en el sector minero en el marco de la economía circular</t>
  </si>
  <si>
    <t>Se identifico con la Directora la necesidad y el alcance de esta actividad, la cual se desarrollará con el apoyo de los contratistas Oswald Maya y Tamara Romero.</t>
  </si>
  <si>
    <t>En elaboración plan de trabajo y estructura del documento técnico.</t>
  </si>
  <si>
    <t>1. Se presentó el documento con la propuesta de la estructura del estudio a realizar para elaborar el informe del estado actulal de la economía circular en el sector minero colombiano. Igualmente se presentó el plan de trabajo. Ambos documentos finalmente tuvieron el visto bueno de la Directora.
2.  Se realizaron reuniones con la OAAS y Ministerio del Medio Ambiente para conocer el alacnce de la Estrategia Nacional de Economía Circular.
3. Se tuvo reunión con la Dirección de Formalización Minera para presentarles el alcance del estudio a realizar por parte de la DME y solicitarles que enfocaran los recursos disponibles para realizar un estudio enfocado a la parte normativa de la economía circular en el sector minero.
3. Se presentó el primer avance del informe del estado actual de la economíia circular en el sector minero para revisión por parte de la Supervisión.</t>
  </si>
  <si>
    <t>1.  Se realizaron reuniones con varias empresa y universidades para concoer la experiencia que han tenido sobre la econcomía circular aplicada en los negocios y su visión con respecto a su aplicación en las actividades mineras. Esta información reforzará el estudio que se está realizando actualmente.
2. Se participó en la mesa intersectorial de la Estrategia Nacional de Economí Circular que tenia como fin identificar las iniciativas que cada una de las entidades invitada por la OAAS tiene hasta el momento con potencial para su desarrollo. Desde la DME se envió el mensaje sobre el estudio de actualización de la economía circular en el sector minero y la contratación de la consultoría para realziar los lineamientos técnicos de política de buenas prácticas para estandarizar este proceso.
3. Se elaboró el segundo avance del informe del estado actual de la economíia circular en el sector minero, el cual se encuentra en revisión. </t>
  </si>
  <si>
    <t>1. De acuerdo con el estudio de mercado mediante el proceso SIP-024-2021 en el SECOPII, se complementaron los estudios previos para la contratación de la consultoría que elaborará las propuestas de lineamientos técnicos de buenas práticas para  los dos (2)  estándares elegidos que corresponden a buenas prácticas en la Gestión y manejo de estériles en minería y a buenas prácticas de la Economía circular en la actividad minera.
2. Se realizó el sondeo de mercado por parte del GGC para elaborar los indicadores financieros habilitantes para actualizar los estudios previos para la contratación de la consultoría y continuar el trámite respectivo.</t>
  </si>
  <si>
    <t>1. Se envió al Grupo de Gestión Contractual (GGC) la solicitud de inicio del trámite de contratación de la consultoría que elaborará los lineamientos técnicos de política de buenas prácticas para los dos (2) estándares elegidos. Se anexó el documento de los estudios previos y el CDP.
2. El GGC programó el Comité de contratos # 27 para el 6 de julio de 2021.</t>
  </si>
  <si>
    <t>PA-DME-03-01</t>
  </si>
  <si>
    <t>Aentar la procucción de carbónum</t>
  </si>
  <si>
    <t xml:space="preserve">Aumentar la producción de carbón con respecto a 2020   </t>
  </si>
  <si>
    <t>Gestión para la continuidad del proyecto carbón realizado</t>
  </si>
  <si>
    <t>seguimiento</t>
  </si>
  <si>
    <t xml:space="preserve">Se han participado en las reuniones para adelantar las acciones necesarias </t>
  </si>
  <si>
    <t>Se sostuvieron varias reuniónes en región para desarrollar acciones que permitan la sostenibilidad del proyecto Cerrejón. Propuesta estructurar un plan de acción similar al del Cesar.</t>
  </si>
  <si>
    <t>Cerrejón – Arroyo Bruno. Se avanzo en reuniones programadas para incertidumbre 1 y 7. Las demás programadas para abril.​
Cerrejón - Consulta Previa. Programada agenda de pre-consulta entre el  20 al 26 de abril.​
Cerrejón - Provincial. Avanza socialización de ANLA con comunidades para implementación del plan de monitoreo.​
Drummond – Integración RH y S. Pendiente entrega de minuta conciliada a Comité de Contratación.​
Drummond – Reasentamientos. ANLA emitió Resolución excluyendo comunidad de Boquerón.</t>
  </si>
  <si>
    <t>Cerrejón - Sentencia 698/ 2019 - Arroyo Bruno -  En construcción documento que resulve las 7 incertidumbres.  Pendiente cronograma de socialización a comunidades.
Cerrejón Sentencia T 704 (Consulta Previa) - Programación del mes de abril suspendida para identificación de impactos y pre consulta suspendida por restricciones de pandemia.
T614 de 2019 (Tutela Provincial) - Suspendido trabajo de campo por restricciones de pandemia.
Demanda de nulidad PMA - Proceso reactivado; en agenda del Consejo de Estado para definir medida cautelar de suspensión del PMA.
Drummond – Integración RH y S. Se lograron acuerdos finales en negociación. Minuta pendiente de aprobación por Comité de Contratación para firma.​
Drummond – Reasentamientos. ANLA emite resolución 640 del 07 de abril 2021, modificando R anterior en el sentido de que Comunidad de Boquerón ya no será reasentada. Auto 02382 del 23 de abril de 2021, ANLA requirió a las 3 empresas la presentación de un Programa de Trabajo individualizado  para el cumplimiento total del PAR de las comunidades de Plan Bonito y El Hatillo.</t>
  </si>
  <si>
    <t>Sentencia 698/ 2019 - Arroyo Bruno - Documento que resuelve incertidumbres en ajuste. Oficios a comunidades para informar sobre programación de socializaciones están en revisión de la Mesa. Posible Programación entre junio y julio.
Sentencia T 704 (Consulta Previa) - 300 comunidades.  En mayo suspendida convocatoria para identificación de impactos y pre consulta por restricciones de pandemia y paro.
T614 de 2019 (Tutela Provincial) - Programación de visitas por ANLA entre el 25 y 26 de mayo. En elaboración de ANLA concepto de visitas del mes de abril para socializar con comunidad. ANLA avanza en proceso de contratación para la puesta de equipos y monitoreo indicativo de calidad del aire.
Demanda de nulidad PMA - Proceso reactivado; en agenda del Consejo de Estado para definir medida cautelar de suspensión del PMA.</t>
  </si>
  <si>
    <t>Sentencia 698/ 2019 - Arroyo Bruno - 18 de junio ultima reunión de la mesa; se aprobó oficio de respuesta a CAJAR.  en él se convoca nuevamente a sus representados entre el 12 y 16 de julio de 2021, o se solicita una contrapropuesta de fecha para avanzar con los espacios de participación para el estudio técnico de las incertidumbres. Pendiente  aprobación del documento sobre las 7 incertidumbres.
Sentencia T 704 (Consulta Previa) - 300 comunidades.  En junio continuo suspendida programación para identificación de impactos y pre consulta por restricciones de pandemia.
T614 de 2019 (Tutela Provincial) - ANLA declara desierta el proceso de Selección Abreviada 30/06/2021. En proceso realización de Convenio Interadministrativo con Corporguajira para el traslado, puesta en funcionamiento y operación de una estación de monitoreo automática de medición de material particulado (PM10, PM2.5). Se  avanza en un proceso de mínima cuantía para contratar el monitoreo de calidad del agua.
Demanda de nulidad PMA - Proceso reactivado; en agenda del Consejo de Estado para definir medida cautelar de suspensión del PMA.</t>
  </si>
  <si>
    <t>PA-DME-03-02</t>
  </si>
  <si>
    <t>Avance en la  implementación del  programa de buenas prácticas relacionadas con la calidad del aíre en la industria de producción de coque en Colombia.</t>
  </si>
  <si>
    <t>Se prepararon los estudios previos para la contratación de los cursos. Actividad encaminada al cumplimiento de las actividades que se tienen en el CONPES de calidad del aire.</t>
  </si>
  <si>
    <t>Enp receso la definición del alcance de la contratación</t>
  </si>
  <si>
    <t>Durante el mes de marzo se estrucuturo el proceso y se remitió al Grupo de Gestión Contractual, para revisión y estrucutración del estudio de mercado el cual esta en proceso.</t>
  </si>
  <si>
    <t>Durante el mes de abril se adelantó la gestión para la estructuración del estudio de mercado del proceso de contratación. Igualmente, se realizó la entrega del tema por parte de la funcionaria Alejandra Rodriguez y la contratación del profesional Horacio Estrada para el apoyo al mismo </t>
  </si>
  <si>
    <t>Durante el mes de mayo se definió la reestrucutración del proceso de contratación al no recibir ofertas economicas para llos tres cursos que se tenían contemplados. Adicionalmente, se revisó el docuemnto realizado entre MinAmbiente y Fenalcarbón relacionado con las mejores para´cticas en los procesos de coquización</t>
  </si>
  <si>
    <t>Durante el mes de junio se reallizó el ajuste de la ficha de necesidad. Esta en proceso la radicación del porceso nuevamente en contratación</t>
  </si>
  <si>
    <t>PA-DME-03-03</t>
  </si>
  <si>
    <t xml:space="preserve">Ajuste en la metodología precio base para la liquidación de regalías </t>
  </si>
  <si>
    <t>Metodología</t>
  </si>
  <si>
    <t>Pendiente socialización estudio de la UPME, sobre mercado de carbón
ANM en base a resultados estudio de la UPME, planteara modificaciones a la metodología</t>
  </si>
  <si>
    <t>No se tiene avances
Pendiente socialización estudio UPME</t>
  </si>
  <si>
    <t>No se tiene avances.
Se realizo socializacion estudio UPME.</t>
  </si>
  <si>
    <t>Se espera cronograma actualizado por parte de la UPME y la ANM. La viceministra dió línea de tener nueva metodología propuesta antes de junio para que pueda ser implementada desde septiembre.</t>
  </si>
  <si>
    <t>Presentación y socialización del  resultado del “Estudio prospectivo del carbón”, realizado por la UPME, con el propósito de identificar las realidades del mercado del carbón de exportación y de consumo interno, insumo para modificar la metodología que fija el precio base para liquidar las regalías de carbón.
Se sigue pendiente  a los avances en el ajuste a la resolución que vienen trabajando desde la Agencia Nacional de Minería y la Unidad de Planeación Minero-Energética.</t>
  </si>
  <si>
    <t>Se reviso y realizaron comentarios al borrador de Resolución que vienen trabajando desde la Agencia Nacional de Minería y la Unidad de Planeación Minero-Energética.</t>
  </si>
  <si>
    <t>PA-DME-03-04</t>
  </si>
  <si>
    <t>Implementación de la Estrategia para la competitividad y diversificación productiva en el Cesar</t>
  </si>
  <si>
    <t>estrategia</t>
  </si>
  <si>
    <t>Se diseñó y aprobó la estrategia Plan Cesar</t>
  </si>
  <si>
    <t xml:space="preserve">Estructuración e implementación del Plan Cesar.
- Seguimiento Rta Prodeco renuncia.
- Empleabilidad en región.
Diversificación Minera.
- Permanencia en territorio.
Seguimiento a acciones.
</t>
  </si>
  <si>
    <t>1. Se realizó el 8 de marzo la reunión del Ministro de Minas y Energía con el Gobernador del Cesar (asistentes: bancada de parlamentarios del Cesar y la empresa Drumond), el objetivo era avanzar y fortalecer el relacionamiento. 2. Se avanzó en la propuesta del Plan Boquerón Avanza y Emprende, con la construcción del Plan de Acción de Proyectos Estratégicos definidos por la comunidad y con el liderazgo de la Agencia de Renovación del Territorio. 3. Se formuló y acordó el plan de trabajo para atender la problematica de empleabilidad a corto plazo, liderada por el Ministerio de Trabajo y con la participación del SENA y el Servicio Nacional de Empleo. Adicionalmente el Servicio Nacional de Empleo entregó la caracterización y perfilación de la población objeto de la estrategia (personsas desvinculadas de la empresa Prodeco), esto con el fin de estructurar el plan de atención que estará listo el 16 de abril.</t>
  </si>
  <si>
    <t>Por solicitud de Presidencia, el DNP liderará el PLan Cesar. Se realizó una (1) reunión con el subdirector sectorial del DNP para conocer la ruta a seguir para continuar con la ejecución de este Plan. En el marco de los acuerdos, se realizaron las siguientes acciones:
1. Se realizaron cuatro (4) reuniones para avanzar en los temas de la hoja de ruta de empleabilidad para Cesar (DNP, Mintrabajo, Servicio Público de Empleo, Mintransporte y MME). De estas reuniones salió la ruta para realizar una feria laboral el 27 de mayo de 2021.
2. Se realizó una (1) reunión  con el equipo de pacto funcional para acelerar la inclusión de proyectos de reactivación económica y social para el Cesar  en este Pacto (DNP y MME)
3. Se realizaron dos (2) reuniones para revisar el impacto de la renuncia de títulos de Prodeco en las regalías  (ANM, GEESE, DME y DNP).
Se definió que el Rol del del sector liderado por MME en el Plan Cesar será en los siguientes frentes:
1. Seguimiento Proceso Prodeco: evaluación rigurosa de la solicitud de renuncia y . cumplimiento de los compromisos de las empresas mineras (ambientales/sociales.
2. Transformación y Transición Minero-Energética
3. Diversificación Productiva de la mano del sector minero-energético</t>
  </si>
  <si>
    <t xml:space="preserve">Teniendo en cuenta el rol definido para el MME, se desarrollaron durante este periodo las siguientes acciones:
1. Se realizaron cuatro (4) reuniones con DNP, MinTrasportes, las empresas concesionarias de las obras viales del Cesar y MinTrabajo con el fin de socializar las ofertas y validar que estas se encuentren incluidas en la página de Servicio Público de empleo, identificar cuellos de botella y se establecer cronograma de trabajo para el desarrollo de la feria de empleo que se llevara a cabo los días 10 y 17 de junio de manera virtual y presencial respectivamente.
3. Se incluyó en la matriz de hitos del Conpes de Transición Energética, las acciones relacionadas con la diversificación productiva.
4. Teniendo en cuenta las metodologías revisadas por el equipo de posicionamiento con Findeter, MinCIT y PNUD  (Findeter-Territorios de Oportunidades, MinCIT-Agenda de Reactivación de la Comisión Regional de Competividad e Innovación, PNUD-Modelo de Reconversión Productiva),  se construyó la matriz de alineación de propuestas para la reconversión productiva del Cesar. </t>
  </si>
  <si>
    <t>0,5</t>
  </si>
  <si>
    <t>Durante el mes de junio se desarrollaron las siguientes actividades:
1. Se llevaron a cabo dos (2) reuniones con el DNP, MIN TRABAJO, SPE, MME, MIN TRANSPORTE y los contratistas de las concesiones viales del Cesar con el fin de ultimar detalles logísticos, agenda y definir la pieza de comunicación a emplear en la Feria de empleo virtual del 10 junio y presencial el 17 de junio en la ciudad de Valledupar. Desafortunadamente por falta de ofertas laborales la feria no pudo desarrollarse, se continuará en la búsqueda de ofertas laborales para reprogramar dicha feria. Como estrategia de articulación se vinculo a la Secretaría de Desarrollo Económico de Valledupar.
2. Se lleva a cabo reunión con la ANM con el fin de establecer una ruta de empleabilidad para el sector minero, ejercicio que será visibilizado para las empresas del sector minero del Departamento del Cesar en el mes de agosto aprovechando el cronograma propuesto con la estrategia de ANM activa.
3. Se participó de manera presencial en la reunión de trabajo convocada por la ANLA, la cual tenía por objeto revisar, explicar y entender la Resolución 640 de abril de 2021 del ANLA, respuestas a los recursos de reposición interpuestos por la comunidad. Y se aclaró el alcance del Plan de Manejo Socio-económico para el Boquerón que deben diseñar y ejecutar las empresas mineras.
4. Se entrego al DNP (Dirección de pactos funcional Cesar y La Guajira) el Plan de Acción de la comunidad del Boquerón, el cual fue producto de la concertación que se hizo entre la comunidad de la Jagua y la ART para la construcción del PATR de la subregión de Sierra Nevada, con el fin de avanzar en la metodología que contribuirá en la consecución de recursos y que permitirá la coordinación de las diferentes instancias y/o entidades del Estado para avanzar en su implementación.
5. Se llevo a cabo reunión con los secretarios de la Gobernación del Cesar con el fin de presentar los avances de Plan Cesar e identificar acciones de articulación entre los actores.
6. La viceministra asistió a la sesión de la Comisión Regional de Competitividad e Innovación – CRCI del Departamento del Cesar, presento la estrategia de diversificación productiva del Cesar, se creó un comité para el desarrollo de esta actividad integrado por las universidades, la alcandía de Valledupar, la Cámara de comercio y el MME y se priorizaron cuatro sectores: agroindustria, turismo cultural, educación y salud.
7. Teniendo en cuenta la estrategia nacional “Iniciativa de Transparencia de las Industrias Extractivas – EITI” se busca territorializar esta estrategia en el Departamento del Cesar para así mejorar la transparencia y la rendición de cuentas del sector minero en el departamento, para ello se apoyará en el Comité de Seguimiento a la Inversión de Regalías, Carbón Y Petróleo - CSIR que ya efectuá un seguimiento a la ejecución de las regalías del departamento, para ello se llevaron a cabo dos reuniones con el fin de establecer parámetros para la construcción del plan de trabajo, articulación de actores y preparar el lanzamiento de este espacio regional en el mes de agosto.</t>
  </si>
  <si>
    <t>PA-DME-03-05</t>
  </si>
  <si>
    <t xml:space="preserve">Implementación de agenda de carbón </t>
  </si>
  <si>
    <t xml:space="preserve">Estructar las acciones de la agenda de carbón y establecer responsables </t>
  </si>
  <si>
    <t xml:space="preserve">Acercamientos con los responsables de las acciones (DFM, ANM y DME) , para  establecer las subacciones y las metas que se debe cumplir;  con gremios como Fenalcarbon y Asocarbonor para darles a conocer la agenda de trabajo  en cada uno de los trimestres del año 2021 </t>
  </si>
  <si>
    <t xml:space="preserve">
Se continuo con las reuniones de coordinación internas con OAAS DFM, OAJ y DME y externas IBINES, ACM, ANM, sobre actividades asignadas.
Socialización de agenda con ANM y UPME para articulación de acciones e identificación de canal de comunicación en el suministro de información.</t>
  </si>
  <si>
    <t>Se termina versión más actualizada del documento de Hoja de Ruta de carbón. Entre DME y comunicaciones se tienen propuesta inicial de socialización del documento y la Hoja de Ruta.
Se solito a los responsables de las acciones que establecieron metas e hitos de las diferentes acciones planteadas en los ejes de la agenda, consignar los avances pertenecientes al primer trimestre de 2021, de igual forma y buscando el reporte de dichos avances se sostuvieron reuniones con la ANM, Upme, Fenalcarbón, Mincomercio, entero otros.
Se inició trabajo con el grupo de comunicaciones del Ministerio para estructurar el lanzamiento de los lineamientos de carbón, buscando los mensajes adecuados, objetivo principal y actores.</t>
  </si>
  <si>
    <t>Para este periodo se realizaron ajustes a la presentación de Carbón de la DME, con el fin de afinarla y prepárala para reunión con ACM (6-May) y ANM (14-May). Se realizó (6-May) mesa de trabajo con ANM, vicepresidencia de Contratación y Titulación de los trámites pendientes de Asocarbonor.
Recolección de información de Boyacá, Cundinamarca y Norte de Santander de cifras y afectaciones causadas por el Paro Nacional.
Acompañamiento de reuniones sobre los efectos del paro en Norte de Santander.</t>
  </si>
  <si>
    <t>Se realizaron reuniones con DNP y Min Transporte para empezar a recopilar la información sobre vías terciarias que benefician los proyectos mineros del interior del país con el fin de buscar mecanismos que permitan la consecución de recursos económicos que se encaminen al mejoramiento o mantenimiento de estas vías, así mismo se sostuvo la reunión con ANM sobre los tramites represados de Asocarbonor.
Por otro lado, se realizó reunión con Fenalcarbón para esclarecer los comentarios realizados por el gremio al documento de hoja de ruta de carbón, y se solicito nuevamente el listado de los trámites represados con ANM y la autoridad ambiental.</t>
  </si>
  <si>
    <t>PA-DME-03-06</t>
  </si>
  <si>
    <t>Hoja de ruta oportunidades de reducción/compensación de emisiones en la cadena de carbón (trasnformación tecnologica o Hidrogeno)</t>
  </si>
  <si>
    <t>Hoja de Ruta</t>
  </si>
  <si>
    <t>En proceso de acuerdo con los resultados de la consultoría del BID</t>
  </si>
  <si>
    <t>En Marzo no hubo avances. Consultoria para hoja de ruta de hidrogeno fue lanzada el 6 de abril.</t>
  </si>
  <si>
    <t xml:space="preserve">Se participó en primer taller de construcción de estrategia de hoja de ruta de hidrógeno con los consultores. Aún no se tiene los primeros entregables. </t>
  </si>
  <si>
    <t>En mayo no se realizaron avances. Hoja de Ruta de hidrógeno aún está en elaboración.</t>
  </si>
  <si>
    <t>La hoja de ruta de hidrógeno continua. El entregable 2 (producción) fue presentado el 21 de junio. El entregable 3 (demanda) y 4 (brechas de regulación) fueron presentados el 30 de junio. Aún no se tiene una ruta para el uso del carbón en el hidrógeno.</t>
  </si>
  <si>
    <t>PA-DME-04-01</t>
  </si>
  <si>
    <t xml:space="preserve">Aumentar con respecto a 2020 la IED en minería   </t>
  </si>
  <si>
    <t>Caracterización de proyectos (PINE+PIRE + EXPLORACIÓN) y estrategia metodológica de seguimiento implementada</t>
  </si>
  <si>
    <t>En proceso construcción y actualización de matriz de datos de los proyectos. Se identificaron 30 proyectos en desarrollo; 22 en exploración, 2 en C&amp;M, 4 en explotación y 2 en proceso.</t>
  </si>
  <si>
    <t>En proceso construcción y actualización de matriz de datos de los proyectos. Se incremento la matriz  a 38 proyectos en desarrollo.</t>
  </si>
  <si>
    <t>Se vienen sosteniendo reuniones con el equipo y con el profesional de apoyo en la construcción de base de datos (WIlfredo) para consolidar una matriz unificada.  Se programa reunión con la Directora en abril para presentación de estrategia.</t>
  </si>
  <si>
    <t>Se continua con la construcción de la matriz de información. Se migro información a repositorio en Sharepoint. Se han sostenido reuniones con 30 de los 45 proyectos seleccionados. Se presento estrategia de gestión de proyectos a Directora.</t>
  </si>
  <si>
    <t>Se logro avanzar con una primera reunión con 40 de 45 proyectos.
Se traslado información de archivo de los proyectos al repositorio de sharepoint. Se continuara con su organización y actualización de la herramienta de visualización y seguimiento.</t>
  </si>
  <si>
    <t>Se cuenta con 49 proyectos en la matriz de diversificación. 17 corresponden al Dpto. de Antioquia. 
Se continua alimentando base de datos  en el repositorio de sharepoint y afianzando la organización y actualización de la herramienta de visualización y seguimiento.</t>
  </si>
  <si>
    <t>PA-DME-04-02</t>
  </si>
  <si>
    <t>Lanzamiento de la agenda de diversificación</t>
  </si>
  <si>
    <t>Evento</t>
  </si>
  <si>
    <t>Se está dando a conocer la agenda entre funcionarios y contratistas para saber sus necesidades de recursos y poder avanzar en el lanzamiento. En proceso.</t>
  </si>
  <si>
    <t>- El grupo de comunicaciones designado viene trabajando en el ABC de la exploración minera, para lo cual se hicieron varias reuniones internas y otra con Colective Mining quien junto con ACM mostraron su interés en colaborar.
- La VM realizó el lanzamiento de la agenda de exploración en Medellín con amplia participación de exploradores y empresas mineras. Se presentó la propuesta de exploración minera con comunidades del Chocó (modelo Chocó).</t>
  </si>
  <si>
    <t>En proceso. El grupo de comunicaciones trabaja en una propuesta sobre la fase de exploración, vienen recogiendo los insumos para hacer el lanzamiento. </t>
  </si>
  <si>
    <t>Se sigue avanzando la agenda de exploración, ExploraCo. Se fortalecen las gestiones de proyectos, inclusión financiera para esta etapa y el ABC con el fin de generar mayor información sobre esta etapa, clave para el desarrollo minero.</t>
  </si>
  <si>
    <t>Se continúa con el documento del ABC de exploración al cual se le hicieron mejoras en la información. Se envió link para que los funcionarios de la Dirección lo conocieran y presentaran  comentarios. En proceso.</t>
  </si>
  <si>
    <t>PA-DME-04-03</t>
  </si>
  <si>
    <t>Lanzamiento del proceso se adjudicación de áreas estrategicas mineras realizado (cobre y fosfatos)</t>
  </si>
  <si>
    <t>En proceso ña estructuración del proceso de lanzamiento de las áreas estratégicas mineras</t>
  </si>
  <si>
    <t xml:space="preserve">El día Martes 9 de febrero se realizó prelanzamiento de la ronda por parte de la ANM, en el cual se presentó la plataforma en la cual las empresas podrá presentar su propuesta por los bloques ofertados. </t>
  </si>
  <si>
    <t>Se realizaron reuniones de seguimiento a las actividades realizadas por la ANM; estas reuniones contaron con el acompañamiento de la Vicemininistra y el presidente de la ANM.
Se está en el proceso de adjudicación de los bloques, para lo cual se han realizado multiples eventos de promoción, en los cuales ha participado Alejandra Rodríguez.</t>
  </si>
  <si>
    <t>1- Se ha asitido a las reuniones de seguimiento convocadas por la Viceministra y Directora respecto de este proceso. La ANM continua con el proceso de adjudicación de los bloques respectivos. </t>
  </si>
  <si>
    <t xml:space="preserve">- Se han recibido 11 solicitudes de habilitación recibidas, de las cuales 4 están habilitadas, 3 están en evaluación y 4 han sido rechazadas.
- Empresas habilitadas:Carbomas S.A.S, Cobres del Cesar S.A.S, Minerales Camino Real S.A.S, EATON Gold S.A.S.
Promoción de la ronda minera. Se han realizado las siguientes acciones por parte de la ANM:
a) Alianzas con embajadas y Procolombia, el propósito ha sido dar a conocer la agenda y se tienen agendas conjuntas con: Canadá, Estados Unidos, Reino Unido, China, Japón, India, Emiratos Árabes Unidos y Sudáfrica.
b) Roadshows dirigido a empresas y participación en eventos estratégicos de terceros.
c)Información y capacitación del nuevo modelo de asignación, se realizó un ANM live una semana con 5 jornadas de capacitación con más de 13.300 visitas y una jornada de capacitación de los módulos de ANNA Minería para el proceso de selección con participación de 89 participantes (incluida la participación BHP).  Despliegue total del sitio web de áreas estratégicas mineras con los ABC en inglés y español, la página de promoción de inversionistas en 5 idiomas. </t>
  </si>
  <si>
    <t>En proceso los procesos de AEM. La ANM dispuso en su portal el avnace de las acciones el cual esta públicado en el link https://mineriaencolombia.anm.gov.co/contenido/areas-estrategicas-mineras</t>
  </si>
  <si>
    <t>PA-DME-04-04</t>
  </si>
  <si>
    <t>Número Distritos metalogénicos con conocimiento por parte del SGC y entregados a la ANM</t>
  </si>
  <si>
    <t>Distritos</t>
  </si>
  <si>
    <t>El SGC informó a través de la Dirección de recursos minerales reportó que en el mes de enero se seleccionaron las áreas a estudiar en el año 2021 :“A 31 de enero se identificaron 20 nuevos distritos metalogénicos para adelantar la evaluación integral del potencial mineral el año 2021, con énfasis en minerales cupríferos, auríferos, polimetálicos, fosfatos, materiales de construcción, arcillas industriales y uranio”.</t>
  </si>
  <si>
    <t>A 28 de febrero se avanzó en la elaboración de informes diagnósticos de los distritos metalogénicos de Tarso, San Antonio, Ortega, y Roncesvalles</t>
  </si>
  <si>
    <t>A 28 de febrero se avanzó en la elaboración de informes diagnósticos de los distritos metalogénicos de Tarso, San Antonio, Ortega, y Roncesvalles (Pendiente Validar)</t>
  </si>
  <si>
    <t>Sin avance reportado por parte del SGC</t>
  </si>
  <si>
    <t>Pendiente de envío información por parte del SGC</t>
  </si>
  <si>
    <t>Reportado por SGC: 30 de junio se avanzó en el informe ejecutivo del Distrito metalogénico de Buenos Aires – Suarez y se elaboró informe ejecutivo del distrito de Aguadas. Se avanzó en la elaboración de planes de cubrimiento de campo para recolección de información geológica, geoquímica, geofísica y metalogénica de detalle, para los distritos de Fredonia, Anserma, Risaralda y Santa Bárbara</t>
  </si>
  <si>
    <t>PA-DME-04-05</t>
  </si>
  <si>
    <t>Lineamientos de política para el Conocimiento Geológico realizados, de acuerdo con la nueva ley de regalías</t>
  </si>
  <si>
    <t>En el mes de enero se hizo revisión del lineamiento general u orientación en cuanto a las actividades de conocimiento y cartografía geológica que establece el Art. 15 de la ley 2056 de 2020. Se estructuró el grupo de trabajo para el documento y se está en proceso de contracción de los profesionales de apoyo.</t>
  </si>
  <si>
    <t>Durante el mes de febrero se estableció el cronograma de las acciones para formular los lineamientos  de política para el Conocimiento Geológico.</t>
  </si>
  <si>
    <t>• La DME avanzó en la estructura y organización sobre el contenido del documento de lineamientos, el cual según cronograma se presentará una primera versión en la primera semana del mes de abril/21.
• En próximas semanas se informará al SGC de las mesas de trabajo para trabajar lineamientos de manera armónica y coordinada con esa entidad.
• Líneas que se están considerando:
- Avances cubrimiento Cartografía Geológica escalas multipropósitos (Terminar 1:100K, avanzar en 50K y 25K)
- Generación y consolidación del conocimiento geológico para el incremento de la exploración y explotación de minerales estratégicos (cubre Distritos metalogénicas, geoquímica, geofísica, mapa metalogénico, acá cabe Banco de Información Minera, Huella Minera)
- Apoyo en la consolidación de la cadena energética (investigación y consolidación cuencas hidrocarburíferos, gas asociado a carbón y avances identificación del potencial geotérmico)
• Los lineamientos se estructurarán teniendo como premisa la orientación que establece el artículo 15/ley 2056 de 2020</t>
  </si>
  <si>
    <t>Se realizó el primer borrador de lineamientos y Borrador de resolución de lineamientos
así mismo se realizó la Primera mesa de trabajo con Hidrocarburos (28-04-2021)</t>
  </si>
  <si>
    <t>Se complentó y ajustó la primera versión borrador del documento de Lineamientos para el conocimiento y cartografía geológica, en el ciclo de las regalías, teniendo en cuenta los comentarios realizados por la Dirección de Hidrocarburos.
Se inició el proceso de socialización del documento para observaciones e inclusión de aportes con DFM y OASS.
También se inició la socialización con el SGC, entidad a la que se les puso en conocimiento el documento realizado, de quienes estamos a la espera de recibir comentarios y agendar las jornadas de trabajo que sean necesarias a fin de complementar y/o ajustar cuando así se considere.</t>
  </si>
  <si>
    <t>Se recibieron aportes del SGC a  primera versión del documento lineamientos, los cuales fueron revisados, analizados y en su mayoría acogidos. Se tiene propagado el día 02 de julio de 2021 una mesa de trabajo con dicha entidad para definir líneas con respecto al tema de geoamenazas y definir indicadores para seguimiento a la implementación de dichos lineamientos.</t>
  </si>
  <si>
    <t>PA-DME-04-06</t>
  </si>
  <si>
    <t>Agendas sectorial para esmeraldas en implementación</t>
  </si>
  <si>
    <t>Ageda</t>
  </si>
  <si>
    <t>Se estaba estructurando la matriz del plan de acción de la agenda de esmeraldas</t>
  </si>
  <si>
    <t>En proceso la revisión y validación de las acciones de la agenda conjunta con la Dirección de Formalización Minera</t>
  </si>
  <si>
    <t>Se socializó la agenda con Sebastian de ACM , se empalmaron las acciones y responsables con ANM, se recibieron aportes de la dirección de formalización minera,
Se encuentra pendiente respuesta por parte d ela ANM acerca de la línea de acción de la VUCE
Y se encuentra pendiente de aportes por parte del equipo de Sandra de la DFM.
Se realizó mesa de trabajo con APRECOL  a escuchar las necesidades del gremio</t>
  </si>
  <si>
    <t> El desarrollo de éste mes radicó en que la Jefe logró un espacio en la presentación de la guía de Esmeraldas Colombianas (espacio de la ANM), en la cual abordó el ejercicio que se viene desarrollando desde la DME con la Agenda de Esmeraldas, así mismo el equipo asistió a la socialización de la misma a efecto de observar avances y retroalimentar la agenda denotando que la presentación de esta guía materializaba el cumplimiento de un hito, así mismo se recibió documento de la UPME en la que indicaron comentario en la acción de Estrategia de inclusión financiera, seguidamente se identificaron en la agenda las acciones transversales y las acciones contenidas en el plan de acción de Boyacá plasmándose en las observaciones. El 22 de abril de 2020 se envió la agenda de esmeraldas a Carlos Bermúdez para presentación de avances en sus líneas de acción que a la fecha no han sido diligenciados, así mismo se refiere que la falta de socialización de la agenda con el gremio no se ha surtido teniendo en cuenta que la ANM no ha dado respuesta a los varios acercamientos que ha surtido Juan Felipe para que reevalúen la responsabilidad del compromiso contenido en la agenda línea de acción No. 2.3. acción 2.3.4.-(VUCE), que fue identificada por el gremio como el principal cuello de botella y de la cual solicitaron mayor énfasis en el seguimiento a esta necesidad. Seguidamente en éste orden se resalta que se cumplió con el hito de socialización con el gremio acerca de la estrategia de inclusión financiera desarrollada el 27 de abril de 2021 a cargo de Leidy Soler y Andrés Ramos, a la cual los asistentes respondieron de manera positiva, seguidamente se elaboró presentación de socialización de la agenda de Esmeraldas y se socializó al interior de la DME el 30 de abril de 2020 y se recibieron comentarios de retroalimentación, ulteriormente se indica que se complementó la agenda con los avances relacionados y finalmente se volvió a solicitar a Carlos Bermúdez retroalimentación en cuanto a los avances de las líneas de acción competentes las cuales continúan aun sin diligenciar pero con compromiso por parte de la DFM de desarrollarlo, se realizó depuración continua de la matriz y reuniones del equipo y se indica que a petición de la Jefe Tatiana se van a hacer reportes de avances semanalmente con los cuales la agenda de Esmeraldas cumplió desde el momento mismo de la asignación de ésta responsabilidad.</t>
  </si>
  <si>
    <t>Se socializaron avances en materia de agenda con ACM el 6 de mayo, se realizó socialización de la agenda con la ANM el 18 de mayo de 2021, del cual se indica que hubo buena receptibilidad de los responsables en las diversas acciones. En ese mismo espacio se reiteró la necesidad de abordar de manera conjunta las posibles acciones para la simplificación del trámite de comercializador exportador- VUCE, llegando a establecer como enlace a Pablo Bernal para validar el tema, seguidamente se requirió por cuarta vez a través de Carlos Bermúdez los avances en las líneas de acción de la agenda de competencia de la DFM, ya que no hubo respuesta a las últimas tres gestiones referidas. se incluyó acción de protocolo de transparencia en la agenda y se actualizó matriz con los avances cuya responsable es Nohora Ordoñez.</t>
  </si>
  <si>
    <t>La Dirección de Formalización Minera reportó avances relacionados con el Plan de Acción para el Occidente de Boyacá, los cuales fueron debidamente adheridos a la agenda en las acciones correspondientes. Respecto a las acciones relacionadas con denominación de origen, convenios con organizaciones en tallajes, firma geoquímica y certificación de origen de la Esmeralda y proyectos del Fondo Nacional de la Esmeralda, se reportó hitos y avances por parte del profesional Henry Sebastián Alarcón Restrepo, en reunión sostenida el 11 de junio de 2021,  los cuales se encuentran reportados en la agenda. Respecto a la acción relacionada con la simplificación del trámite de origen lícito (VUCE), Pablo Roberto Bernal López, designado como responsable de la Agencia Nacional de Minería, manifestó en reunión sostenida el 11 de junio de 2021 que dicha entidad tiene previsto establecer mecanismos de inspección conjunta con la DIAN, que avanzarán en la medida que se retorne a la presencialidad. En lo concerniente al plan de transparencia dentro del Plan de Acción para el Occidente de Boyacá, el 23 de junio de 2021 se realizó una reunión de articulación con la OAAS y la Agencia Nacional de Minería, en la cual se hizo la retroalimentación del mismo por parte de dichos actores, destacando que a la fecha se encuentra en proceso de revisión y comentarios por parte del gremio de productores. Finalmente, se socializó con el Grupo de Política los avances de la agenda en cuanto a encadenamientos productivos, en el marco del documento CONPES de reactivación económica, en reunión sostenida con la profesional Cecilia Inés Serna Giraldo el 17 de junio de 2021.</t>
  </si>
  <si>
    <t>PA-DME-04-07</t>
  </si>
  <si>
    <t>Cuantificación del valor de las reservas mineras del país realizada</t>
  </si>
  <si>
    <t>Se entregó la valoración de reservas a Grupo de Gestión Financiera y Contable  por parte del Grupo de Miguel Alfonso</t>
  </si>
  <si>
    <t xml:space="preserve">En el mes de noviembre se realizará la solicitud </t>
  </si>
  <si>
    <t xml:space="preserve"> En el mes de noviembre se realizará la solicitud </t>
  </si>
  <si>
    <t>En el mes de noviembre se realizará la solicitud
Se presentó en Enero por parte del GRUPO DE GESTION DE PROYECTOS MINEROS   la tabla de valoración y el oficio a la Dirección Financiera, se encuentra pendiente el plan de mejoramiento del hallazgo que hizo la Contraloría. Para este año ya se dio cumplimento al 100%. Lo anterior, según lo informado por el Ingeniero Juan José Manrique.</t>
  </si>
  <si>
    <t>Se presento en Enero por parte del GRUPO DE GESTION DE PROYECTOS MINEROS la tabla de valoración y el oficio a la Dirección Financiera, se encuentra pendiente el plan de mejoramiento del hallazgo que hizo la Contraloria. Para este año ya se dio cumplimento al 100%. Lo anterior, segun lo informado por el Ingeniero Juan José Manrique.</t>
  </si>
  <si>
    <t>PA-DME-04-08</t>
  </si>
  <si>
    <t>Agenda para la diversificación (conocimiento, exploración, gestión proyectos) implementada</t>
  </si>
  <si>
    <t>agenda</t>
  </si>
  <si>
    <t>En proceso la definición de los responsables y líneas de la agenda</t>
  </si>
  <si>
    <t>Se realizó reunión con los diferentes grupos de la agenda: financiamiento, posicionamiento, PINES, a quienes se les indicó las acciones correspondientes al interior de la agenda.
- Se le envió la agenda al presidente de la ACM, quien presentará un listado de trámites importantes en proyectos en exploración que están retrasando la exploración en el país.</t>
  </si>
  <si>
    <t>- Se realizaron varias reuniones internas para afinar temas, hitos, avances tempranos. La agenda se dio a conocer a la ANM, OAAS, DFM toda vez que ellos tienen temas a cargo.
- La agenda fue socializada con la ACM.
- Se le socializó a ACM la estrategia de financiamiento: confianza, bancarización y financiamiento.</t>
  </si>
  <si>
    <t>Se han tenido reuniones internas entre las agendas donde se presentó la agenda de exploración, se mostraron los avances en temas como: estrategia de financiamiento, el avance en las AEM donde la ANM ofertó 5 bloques en La Guajira y el Cesar y se está en la revisión de los oferentes por parte de la autoridad minera.En materia de trámites mineros se enviaron a la ANM algunos de esos trámites relacionados con cesión de derechos,de área, de inscripción de contratos en el RMN. En la estrategia de relacionamiento se avanza con Antioquia, en particular los acercamientos con la alcaldía de Jericó y con la de Buriticá. En la estrategia con las FFMM se espera que la VM de Defensa envíe con las modifiaciones propuestas, el protocolo de seguridad para continuar avanzando. </t>
  </si>
  <si>
    <t>Se avanza en la implementación de la Agenda ExploraCo.
Este mes avances en temas de inclusión para el sector. Salida a Bolsa de Collective Mining, reuniones con varios exploradores, consolidación de la información y construcción de reporte de avances presentado a la viceministra.</t>
  </si>
  <si>
    <t>La ANM continúa con el trabajo de revisión de los proponenetes de los 5 bloques en el Cesar y La Guajira. Estudia la información presentada por el SGC sobre fosfatos para la próxima ronda.De otra parte el Consejo de Estado se pronunció sobre las AEM del año 2012 las cuales siguien suspendidas por no tener la CP. La salida a Quibdó para exponer el modelo del Chocó quedó para el mes de julio.</t>
  </si>
  <si>
    <t>PA-DME-04-09</t>
  </si>
  <si>
    <t>Concretar definición de agenda de trámites ambientales</t>
  </si>
  <si>
    <t>Resolución</t>
  </si>
  <si>
    <t>Dentro de la Agenda interministerial los temas a trabajar son: Sustracción de reservas forestales de Ley 2da de 1959, GMA, LA exploración, política ambiental del carbón</t>
  </si>
  <si>
    <t xml:space="preserve"> - En proceso de definir con la ANM qué trámites tienen ellos con las CARS.
- Por definir el paso a seguir en relación con la modificación de sustracción de reservas forestales de ley 2da de 1959.</t>
  </si>
  <si>
    <t>- Se realizó reunión con la OAAS toda vez que hay temas de la Agenda interministerial que se cruzan con la Agenda de exploración. Entre los temas comunes se tienen: cierre de minas (DME lidera propuesta de decreto), áreas estratégicas mineras (apoyo, lidera ANM), política ambiental del carbón (participa junto con la OAAS), guías minero ambientales (propuesta de adopción), licencia ambiental en exploración (DME- OAAS). Falta por definir economía circular toda vez que el tema no es solo de la DME.</t>
  </si>
  <si>
    <t>Con el MADS, ANM, UPME y el MME venimos trabajando en las GMA en particular se ha revisado la de exploración. Se enviaron los comentarios a GIZ. Así mismo se envió oficio a la OAJ sobrecompetencia de la adopción de las guías.En proceso. </t>
  </si>
  <si>
    <t>A la espera de la nueva reglamentación de la Sustracción de Áreas de Reserva Forestal, que se encuentra dentro de los trámites ambientales priorizados para el desarrollo de la exploración minera en el país.</t>
  </si>
  <si>
    <t>PA-DME-04-10</t>
  </si>
  <si>
    <t>Desarrollar estrategia para el fortalecimiento de la seguridad rural para infraestructura minera</t>
  </si>
  <si>
    <t>En proceso</t>
  </si>
  <si>
    <t>Se trabajó de la mano con Mindefensa y el sector productivo en la actualización del Protocolo para la identificación y gestión de riesgos relacionados con la seguridad entre Fuerza Pública y empresas del sector minero. Actualmente pendiente de confirmación por parte de la Viceministra de Mindefensa para socialización con gremios y por regiones. En cualquier caso, MinDefensa ha acompañado los espacios que se han tenido con compañías exploradoras y ACM en el marco de la Agenda de Exploración.</t>
  </si>
  <si>
    <t>Con la llegada de la viceministra de Defensa, fueron sugeridos ajustes al protocolo y  en este momento se revisan temas en el marco de Derechos Humanos y otras temáticas para fortalecerlo. Para el cumplimiento de estos requerimientos desde el Viceministerio de Minas, se viene trabajando conjuntamente con la Dirección de Seguridad e Infraestructura.</t>
  </si>
  <si>
    <t>En avance con los ajustes del protocolo desde MinDefensa. Primera semana de junio se llevará a cabo reunion interna para presentarle a la Viceministra de Defensa el protocolo con los ajustes requeridos.</t>
  </si>
  <si>
    <t>1. Se esta trabajando en una Directiva para hacer seguimiento a los casos de incautación de los minerales.
2. Se esta trabajando en un instructivo de la policía pueda atender los casos de minería subterranea.</t>
  </si>
  <si>
    <t>PA-DME-04-11</t>
  </si>
  <si>
    <t>Estrategia de posicionamiento de la actividad minera en las regiones priorizadas para exploración minera y viabilización de proyectos</t>
  </si>
  <si>
    <t>Estretegia</t>
  </si>
  <si>
    <t>Se diseñó y aprobó la estrategia de Exploración y se priorizaron los territorios a atender con la estrategia</t>
  </si>
  <si>
    <t>Maria eugenia</t>
  </si>
  <si>
    <t>Se viene desarrollando la estrategia con los proyectos priorizados para la diversificación</t>
  </si>
  <si>
    <t>Se continua implementado la estrategia de posicionamiento en las áreas de los proyectos priorizados para la diversificación.</t>
  </si>
  <si>
    <t>PA-DME-05-01</t>
  </si>
  <si>
    <t xml:space="preserve">Incremento  en la producción de oro (por cuenta de titulares mineros)   </t>
  </si>
  <si>
    <t>Lineamiento de política y hoja de ruta para la explotación del oro y polimetálicos realizado</t>
  </si>
  <si>
    <t>Se está a la espera de la contratación del ingeniero de minas con experiencia en oro, para desarrollar este tema.</t>
  </si>
  <si>
    <t>Se realizó revisión de la versión preliminar que se tiene del documento.</t>
  </si>
  <si>
    <t>Se realizó reunión con funcionarios de la DME y funcionarios de la DFM con el fin de socializar las brechas identificadas, así como conocer las acciones transversales que se están realizando en el Ministerio respecto de la minería del oro y polimetálicos.
De igual forma, se realizó reunión con funcionarios de la DME con el fin de socializar las acciones propuestas para eliminar las brechas identificadas.</t>
  </si>
  <si>
    <t>Se ha avanzado en la elaboración de los lineamientos de política estructurando el documento con una contextualización de la minería de oro y polimetálicos en Colombia, diagnóstico de las principales brechas del sector, estrategias que se vienen desarrollando desde el ministerio en pro de la industria minera y se propusieron algunas acciones complementarias para superar las brechas identificadas. El documento se envió para una primera revisión a los miembros de la DME.</t>
  </si>
  <si>
    <t>PA-DME-05-02</t>
  </si>
  <si>
    <t>Nuevo proyecto  minero  de cobre en etapa de construcción y montaje (Quebradona)</t>
  </si>
  <si>
    <t>Proyecto</t>
  </si>
  <si>
    <t>Avanza evaluación de PTO en GA sobre requerimientos adicionales. 
Avanza evaluación de LA en ANLA a requerimientos adicionales solicitados</t>
  </si>
  <si>
    <t>Avanza evaluación de PTO en GA sobre requerimientos adicionales.
Avanza evaluación de LA en ANLA a requerimientos adicionales solicitados</t>
  </si>
  <si>
    <t>Se avanzó en el proceso de evaluación de PTO por GA. Posible pronunciamiento 22 de junio.
Se avanzó en el proceso de evaluación de LA en ANLA. Posible pronunciamiento en mayo.</t>
  </si>
  <si>
    <t>Evaluación PTO - Se avanza en evaluación; posible pronunciamiento 22 de junio.
Evaluación EIA - Licencia Ambiental  -  Continua evaluación de ANLA. Se solicitó conceptos al IDEAM y SGC. Posteriormente se programaran mesas de trabajo entre ANLA y estas entidades para aclarar dudas.</t>
  </si>
  <si>
    <t>Evaluación PTO - Se avanza revisión del concepto de aprobación que ya esta para la firma Secretario de Minas.
Evaluación EIA - Licencia Ambiental  -  Continua evaluación de ANLA. Reunión del SGC e IDEAM con la empresa se llevo a cabo el 23  y 24 de junio. ANLA propone reunión con el SGC e IDEAM entre los días 6 y 7 de julio.</t>
  </si>
  <si>
    <t>PA-DME-05-03</t>
  </si>
  <si>
    <t>Nuevo proyecto  minero  de oro en etapa de construcción y montaje (Gramalote)</t>
  </si>
  <si>
    <t>Posible firmas del PAR entre abril a junio de 2021 (294 Unidades sociales). Inicio de C&amp;M (Abril o junio de2021). 
Concomitancia - 18-02 reunión entre ANLA y empresa; se solicitara información adicional. En proceso.</t>
  </si>
  <si>
    <t>Ajuste en fechas; posible firma del PAR entre mayo a junio de 2021 (294 Unidades sociales). Inicio de C&amp;M (septiembre de 2021).
Concomitancia - Requeirmientos ANLA. En proceso recopilación de información por empresa. Posible entrega en mayo.</t>
  </si>
  <si>
    <t>Reasentamientos - Posible firma del PAR entre mayo a junio de 2021 (294 Unidades sociales). Inicio de C&amp;M (septiembre de 2021). Suspendidas reuniones de concertación colestiva para el mes de abril por pandemia.
Concomitancia - Requeirmientos ANLA. Se avanzó en proceso de estructuración de documento de respuesta y recopilación de información por empresa. Posible entrega en mayo.</t>
  </si>
  <si>
    <t>Información de B2Gold sobre necesidad de complementar estudio de factibilidad del proyecto, posterga la decisión de inicio de la etapa de C&amp;M 1 año más (junio 2022).
Reasentamientos de comunidad en área del proyecto -   (ajustada a 333 familias). Mesas de Concertación colectivas se llevaron a cabo en 5 de 6 veredas reuniones de apertura, (10 reuniones en total, 2 * vereda). próxima semana vereda la Maria.
Concomitancia entre reasentamientos y C&amp;M - Posible fecha de presentación respuestas por empresa a solicitud de ANLA primera semana de junio.</t>
  </si>
  <si>
    <t>Reasentamientos de comunidad en área del proyecto -   (ajustada a 297 familias). Primeras reuniones de apertura de concertación fueron abordadas en las 6 veredas. Reuniones de negociación fueron suspendidas por incremento de contagios en el municipio. Se espera retomar el 20 de julio.
Concomitancia entre reasentamientos y C&amp;M - Repuestas a requerimientos de ANLA radicadas el día 15-06 . Concluyó que no se requiere de la adición de nuevos impactos y que la recalificación de los existentes indujo únicamente a cambios menores en la importancia. En evaluación de ANLA.</t>
  </si>
  <si>
    <t>PA-DME-05-04</t>
  </si>
  <si>
    <t>Identificación de Corredores mineros y su caracterización</t>
  </si>
  <si>
    <t>Corredores</t>
  </si>
  <si>
    <t>En proceso conformación de grupo de trabajo e inicio de recopilación de información.</t>
  </si>
  <si>
    <t>Definición de corredores (Quinchía-Buriticá, Bagadó-Acandí y Puerto Berrío-Segovia); recopilación de información; construcción de primer esbozo y tabla de contenido del documento de caracterización</t>
  </si>
  <si>
    <t> Se confirmaron los tres corredores mineros, correspondientes a dos cinturones de oro y un cinturón de cobre. Se realizó revisión bibliográfica de documentos y mapa metalogénico del 2018 del SGC. Se programó reunión con el SGC en mayo para solicitar información geológica actualizada y solicitar shapes de cinturones.</t>
  </si>
  <si>
    <t>Se continua con la revisión bibliográfica de documentos y mapa metalogénico del 2018 del SGC. Se sostuvo reunión con el SGC el pasado  6 de mayo para solicitar información geológica actualizada, así mismo se envío correo formalizando esta solicitud el  26 demayo</t>
  </si>
  <si>
    <t>Se adelantó la descripción de cada uno de los corredores mineros en los componentes ambientales (áreas protegidas excluibles, otras áreas protegidas), social (presencia de comunidades étnicas y afro descendientes, restitución de tierras), minero (títulos, solicitudes, etc.) con base en información contenida en Anna Minería, en su visor geográfico que maneja en línea la ANM. El componente geológico para cada uno, se adelantó con base en información contenida en documentos publicados en páginas web mientras se recibe complemento por parte del SGC.
La información referente a componentes de infraestructura (vial e hidrocarburos) y de actividades económicas (agropecuaria y comercio) serán requeridas a entidades del estado competentes mediante los shapefiles de cada uno de los corredores.</t>
  </si>
  <si>
    <t>PA-DME-05-05</t>
  </si>
  <si>
    <t>Prorroga, construcción y montaje sobre ampliación proyecto minero oro (caldas Gold)</t>
  </si>
  <si>
    <t>Cumplida</t>
  </si>
  <si>
    <t>PA-DME-05-06</t>
  </si>
  <si>
    <t>Proyecto minero en ejecución San Matias - Puerto Libertador, Cordoba</t>
  </si>
  <si>
    <t>Avanza programa de perforaciones. 16-02 reunión con empresa para presentación del proyecto</t>
  </si>
  <si>
    <t>Programa de perforaciones del proyecto se ha visto interrumpido en varias ocasiones como consecuencia de bloqueos por las comunidades de mineros   e intervención de la fuerza pública. MME vienve trabajando como facilitador logrando acuerdos entre las partes para avanzar.</t>
  </si>
  <si>
    <t>Continua bloqueos por las comunidades de mineros al avance del Programa de perforaciones del proyecto. MME trabaja como facilitador entre empresa y comunidad para lograr acuerdos.</t>
  </si>
  <si>
    <t>Programa de perforaciones fue suspendido como consecuencia de intervención de la fuerza pública,  comunidades no permiten su reactivación y deciden unirse al paro minero del Bajo Cauca.  MME continua trabajando como facilitador entre empresa y comunidad para lograr acuerdos.</t>
  </si>
  <si>
    <t>Se logró acuerdo entre la empresa y comunidad el 21-06-21 para poder avanzar en la exploración. El jueves 01 de julio se socializaron estos acuerdos con las entidades de Gobierno. Empresa retomara actividades una vez los lideres de la comunidad hayan socializado el acuerdo.</t>
  </si>
  <si>
    <t>PA-DME-05-07</t>
  </si>
  <si>
    <t>Identificación y seguimiento a nuevos proyectos en desarrollo</t>
  </si>
  <si>
    <t>Se incluyeron 8 proyectos en desarrollo, incluidos en la matriz de diversificación para seguimiento</t>
  </si>
  <si>
    <t>En consolidación de matriz para determinar si se requiere la inclusión de nuevos proyectos.</t>
  </si>
  <si>
    <t xml:space="preserve">Se realizó la selección de 45 proyectos mineros, en los cuales se encuentran los proyectos denominados como PINE, PIRE y proyectos en etapa de exploración temprana específicamente de oro, cobre y polimetálicos. Se sostuvieron reuniones con 22 proyectos confirmando su participación. Se desarrolló una metodología de  seguimiento a los proyectos socializada ante la Viceministra de Minas. Actualmente el grupo se encuentra en proceso de consolidación de la matriz de información.  </t>
  </si>
  <si>
    <t>De los 45 proyectos priorizados se continua en la recolección de información.</t>
  </si>
  <si>
    <t>De 51 proyectos en la herramienta de sharepoint, 27 corresponde a oro; de estos 3 están en prospección,   15 en exploración, 1 en C&amp;M, 7 en explotación y 1 no se ha identificado etapa.</t>
  </si>
  <si>
    <t>PA-DME-06-01</t>
  </si>
  <si>
    <t xml:space="preserve">Herramienta de gestión de la Dirección con  información del sector minero implemetada   </t>
  </si>
  <si>
    <t>Cierre del proceso de empalme y liquidación de los convenios de delegación de funciones de fiscalización y conocimiento y cartografía</t>
  </si>
  <si>
    <t>Empalme y liquidación</t>
  </si>
  <si>
    <t>Se elaboran los informes finales de gestión del VI bimestre de 2020 y de Supervisión del año 2020</t>
  </si>
  <si>
    <t>Dentro del proceso de cierre, empalme y liquidación durante el mes de febrero se solicito al Grupo de Gestión Contractual la estructura para la realización de las actas de liquidación de cada uno de los convenios. Así mismo, se tiene un 90% del informe de la Gobernación de Antioquia y esta en proceso el desarrollo de las del SGC y ANM.</t>
  </si>
  <si>
    <t>1. Se reorganizó el informe de empalme de la G.A.
2. Reunión  de " Liquidación de los convenios interadministrativos suscritos con la Gobernación de antioquia"  con Roberto Conde   donde el aclaro inquietudes sobre la entrega de la info para el acta de  cierre.
3. Informe de supervisión de la G.A. y ANM se encuentran listos para radicar
5. Se avanza con el tema de Inventarios físicos de la ANM llevada a cabo los días 25 y 26 de marzo. Roger del MME realizó muestreo aleatorio al 40% de los activos de a ANM</t>
  </si>
  <si>
    <t> 
Se avanzó en la realización de los informes de gestión, supervisión y cierre de las delegadas. Para el mes de abril se radicó el informe de supervisión de la Gobernación de Antioquia con el radicado 3-2021-008179 del 23-04-2021. Es importante tener en cuenta que el proceso de liquidación se vió afectado por la solicitud de Administrativa de hacer inventarios físicos al 100% .</t>
  </si>
  <si>
    <t xml:space="preserve">Se avanzó en la realización del informe de cierre de las delegadas en los cuales se incluyeron los años anteriores al 2019 para las delegaciones. Es importante tener en cuenta que el proceso de liquidación sigue afectado por la solicitud de Administrativa de hacer inventarios físicos al 100%. El 7 de mayo se presentó a la Directora el plan de trabajo propuesto para el 2021, teniendo en cuenta las actividades a desarrollar en inventarios. El 12 de mayo se realizó reunión con Camilo Álvarez con el fin de aclarar las solicitudes de administrativa con relación al inventario, en donde se concreta hacer un procedimiento y dar respuesta a las solicitudes de la DME. </t>
  </si>
  <si>
    <t>Al cierre de Junio el estado del cierre es el siguiente:
 1. Contratación 
Se espera la contratación de las personas que apoyarán el cierre de la delegación relacionadas con el tema de inventarios
 2.     Inventarios:
Concepto 1 (Emitido el 21-06-2021): Papel de la DME frente al tema de inventarios: El concepto de administrativa estableció que la responsabilidad de los inventarios es de la DME. , por lo cual se programó reunión con la Coordinadora LuzMarina y con la Directora para revisar y concepto y establecer las acciones a desarrollar.  Por su parte se irá trabajando en el cronogramas de inventarios y gestión de comisiones.
Concepto 2 (En proceso): Cómo se va a hacer el traslado y procedimiento: a) es posible que dentro de la liquidación se pueda hacer el traslado b) Ingreso al ministerio c) respuesta al SGC
 3.     Informes
 Empalme de la G.A.: Se devolvió a revisión de observaciones por parte de la coordinadora</t>
  </si>
  <si>
    <t>PA-DME-06-02</t>
  </si>
  <si>
    <t>Tableros de control  como parte del posicionamiento de la Central de Información  del Área implementados</t>
  </si>
  <si>
    <t>Tablero</t>
  </si>
  <si>
    <t>Esta en proceso la contratación del requipo para realizar la estructuración de los tableros de control</t>
  </si>
  <si>
    <t>Se esta priorizando la información para identificar los tableros de control</t>
  </si>
  <si>
    <t xml:space="preserve">Esta en proceso la elaboración del tablero de control de proyectos priorizados, el cual ya cuenta con la base de datos </t>
  </si>
  <si>
    <t>Durante el mes de abril se implementaron los tableros de control del plan de acción y prouectos mineros</t>
  </si>
  <si>
    <t>Durante el mes de mayo se realizó la estrucutración del tablero de información estadisitica. Adicionalmente, se tiene la estructuración del repositorio de información en Sharepoint para poder tener acceso a los documentos que produce la DME.</t>
  </si>
  <si>
    <t>Durante el mes de junio se trabajo en el desarrollo del tablero de fichas departamentales, el cual tiene como proposito mostrar las proncipales cifras de los departamentos con informción sobre minería</t>
  </si>
  <si>
    <t>PA-DME-06-03</t>
  </si>
  <si>
    <t>Informes periódicos sobre temas priorizados realzados</t>
  </si>
  <si>
    <t>En proceso la priorización</t>
  </si>
  <si>
    <t xml:space="preserve">Se estableció la necesidad de trabajar en 6 Informes periódicos sobre temas priorizados realizados, en el siguiente orden:
• Informe 1 (Inclusión Financiera)
• Informe 2 (Economía Circular)
• Informe 3 (Conocimiento Geológico)
• Informe 4 (Territorio)
• Informe 5 (Diversificación)
• Informe 6 (Agendas y avances del sector)
2.     El 22 de febrero se hizo reunión con comunicaciones donde se informó de la necesidad de hacer los informes.
3.     El 15 de Marzo se envió a comunicaciones la primera propuesta de informe de Inclusión Financiera
4.     El 29 de marzo se realizó mesa conjunta con comunicaciones para definir la forma y los ajustes en el documento
5.     A la fecha estamos a la espera de respuesta del equipo de diseño del informe final que será también la base para los siguientes. </t>
  </si>
  <si>
    <t> El 16-04-2021 se recibió la infografía del primer informe de los logros de inclusión financiera, la cual fue remitida al equipo técnico para su revisión y se recibieron comentarios. El 30-04-2021 se remite documento final con solicitud de ajustes a comunicaciones.
La directora solicita hacer el segundo informe del "ABC de la Exploración"</t>
  </si>
  <si>
    <t>Se entrega el 6 de mayo la infografía terminada de logros de Inclusión financiera. Se adjunta soporte. Y se inicia con el ABC de la exploración: 12-05-2021 Se trabajó en la línea del ABC de la exploración conjuntamente con Margarita González  y el equipo de comunicaciones. 26-05-2021: Margarita entregó la primera versión del ABC de la exploración, el cual se revisará por el equipo.</t>
  </si>
  <si>
    <t>El equipo de política realizó el borrador de ABC de exploración y se complementó con temas financieros 25-06-2021 se entregó después de revisión a Margarita para su aprobación y fue publicado para comentarios de la DME hasta el 2-07-2021</t>
  </si>
  <si>
    <t>PA-DME-05-08</t>
  </si>
  <si>
    <t>Producción de oro en títulos mineros</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</si>
  <si>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</si>
  <si>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mayo el Ministerio de Minas y Energía avanzó en la meta de 27.000 mineros legales al 2022 con la firma de un contrato derivado de un Área de Reserva Especial que beneficia a 200 mineros, en Caucasia, para extracción de Oro y Plata. Además, se firmó memorando con ANM y Gobernación de Antioquía para la creación de la Red de Fomento Minero del Departamento. Así mismo, continúo adelantado gestiones con los proyectos PINES, de interés regional y que tienen dificultades en la etapa de exploración. Para ello, se han llevado a cabo acciones relacionadas con la inclusión financiera, la promoción de una cadena de oro y polimetálicos legal, limpia y segura y el relacionamiento en las regiones de oro, donde haya lugar (énfasis exploración), entre otros temas importantes para el fortalecimiento de la actividad alrededor de la producción de oro. Con la entrada en operación de ZIJIN – CONTINENTAL GOLD en octubre del año pasado y con las inversiones previstas para 2021 anunciadas por compañías como Aris Gold, Newmont, Gold X, entre otros, se espera un incremento de la producción formal. Esto sumado a la mayor demanda de oro como refugio financiero, consecuencia de la incertidumbre en la actividad económica mundial. 
 </t>
  </si>
  <si>
    <t xml:space="preserve">Durante el mes de Junio el Ministerio de Minas y Energía avanzó en el fortalecimiento y articulación institucional, promoviendo la minería legal. Así mismo, se trabaja para que la Minería Artesanal Ancestral de Metales Preciosos sea Patrimonio Cultural Inmaterial de la Nación, reivindicando esta actividad histórica. Durante este mes la Agenda regional se desarrolló en Antioquia, donde se evidencia vocación y potencial, visitando empresas como Miranda Gold, Sator, Minera Anzá, Gold Mining, entre otras, donde el Ministerio ratificó su compromiso con el desarrollo y posicionamiento de la minería “a lo legal”. </t>
  </si>
  <si>
    <t>PA-DME-03-07</t>
  </si>
  <si>
    <t xml:space="preserve">Aumentar la producción de carbón con respecto a 2020  </t>
  </si>
  <si>
    <t xml:space="preserve">Producción de carbón </t>
  </si>
  <si>
    <t xml:space="preserve">Durante el mes de abril, el Ministerio de Minas y Energía continuó adelantado gestiones con los proyectos priorizados. Se estuvo trabajando en estrategias de competitividad para afrontar los cambios en la demanda, promocionando carbón colombiano en nuevos mercados internacionales, generación de valor y encadenamientos. Así mismo, se trabajó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</si>
  <si>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mayo el Ministerio de Minas y Energía trabajó en territorio, de manera ininterrumpida y articulada con la Gobernación deLa Guajira y autoridades locales, promoviendo el diálogo y la concertación que permitan normalizar las operaciones mineras en el Cerrejón. Así mismo, continúo adelantado gestiones con los proyectos priorizados como estratégicos. Se está trabajando en estrategias de competitividad para afrontar los cambios en la demanda, promocionando carbón colombiano en nuevos mercados internacionales, generación de valor y encadenamientos. Así mismo, se ha trabajado en temas de adaptación y transición para responder de manera proactiva a las exigencias ambientales de reducción de emisiones (Impuesto al Carbono). Después que en 2020 la producción se contrajo un 38,6%, alcanzando un mínimo de 49,3 millones de toneladas, y que el precio del mineral alcanzó mínimos históricos inferiores a USD 40/ Ton, se espera que en 2021 se dé un repunte en la producción, jalonado por la demanda del mercado asiático, especialmente Turquía, Israel, Corea del Sur, India, China y Japón.  </t>
  </si>
  <si>
    <t xml:space="preserve">Durante el mes de Junio el Ministerio de Minas y Energía trabajó en territorio para continuar impulsando la Agenda de Carbón, con la que se pretende mantener este mineral como fuente de recursos y empleos que permitan la reactivación económica, mientras se avanza en la diversificación de la canasta minera. </t>
  </si>
  <si>
    <t>PA-DME-01-10</t>
  </si>
  <si>
    <t xml:space="preserve">Aumentar la inclusión financiera  </t>
  </si>
  <si>
    <t>Promedio móvil de la inversión extranjera directa en minería</t>
  </si>
  <si>
    <t xml:space="preserve">Durante el mes de abril el Ministerio de Minas y Energía de acuerdo con los procesos de planeación de 2021, se prioriza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controlados por AngloGold Ashanti, así como la mina Marmato de USD 300 millones de Caldas Gold. </t>
  </si>
  <si>
    <t xml:space="preserve">Durante el mes de mayo el Ministerio de Minas y Energía de acuerdo con los procesos de planeación de 2021, se está priorizando la gestión para que los proyectos regionales de importancia estratégica y los que se encuentran en etapa de exploración, superen los cuellos de botella que no permiten el normal funcionamiento de los mismos. Estas acciones están desarrollándose en una agenda que permita la articulación entre las entidades y los titulares para lograr aumentar inversión extranjera. Se espera que la IED en el sector Minero alcance los USD 2.700 millones, impulsada por nuevos proyectos de oro y cobre. Entre las iniciativas que se espera contribuyan a la inversión este año destacan los proyectos de cobre y oro Quebradona, de USD 1.400 millones; y de oro Gramalote, de USD 1.000 millones, ambos de AngloGold Ashanti; así como la mina Marmato de USD 300 millones de Caldas Gold. </t>
  </si>
  <si>
    <t>Durante el mes de Junio el Ministerio de Minas y Energía e continuo con el desarrollo de la estrategia de diversificación enfocando al trabajo que continúa realizando la ANM respecto de las áreas estratégicas mineras donde se encuentran en la revisión de los proponentes de los 5 bloques en el Cesar y La Guajira, y se estudia la información presentada por el SGC sobre fosfatos para la próxima ronda.</t>
  </si>
  <si>
    <t>PA-GEESE-01-01</t>
  </si>
  <si>
    <t>Grupo de Ejecución  Estratégica del Sector Extractivo</t>
  </si>
  <si>
    <t xml:space="preserve">Número de documentos requeridos para fijar la política de transparencia del sector extractivo en el marco del Sistema General de Regalías (SGR).   </t>
  </si>
  <si>
    <t>Elaborar propuesta de la política de transparencia del sector extractivo en el marco del SGR.</t>
  </si>
  <si>
    <t>Plan Estratégico Sectorial - PES</t>
  </si>
  <si>
    <t>Número</t>
  </si>
  <si>
    <t>GEESE</t>
  </si>
  <si>
    <t xml:space="preserve">"Durante el mes de marzo finalizó el proceso de estudio de mercado de las consultorías de administrador independiente y de política, pendientes de ir a Comité de Contratación. Así mismo, se adelantaron dos jornadas de socialización del insumo que dejó como resultado la consultoría del año anterior para obtener aportes que permitan fortalecer la integración de la Política.
"
</t>
  </si>
  <si>
    <t xml:space="preserve">Durante el mes de abril se avanzó con las etapas iniciales del proceso de contratación, se estima presentar la primera semana de mayo a comité de contratación el proceso de Política de Transparencia, para ese misma semana proceder con la publicación del proyecto de pliegos. </t>
  </si>
  <si>
    <t>Durante el mes de mayo se publicó el proyecto de pliegos, se recibieron comentarios y se prepararon las respuestas correspondientes, se estima que para el mes de junio se adjudicará el proceso de selección.</t>
  </si>
  <si>
    <t>Durante el mes de junio se culminó el proceso de selección para llevar a cabo la construcción del documento de Política de Transparencia, no obstante se presentaron fallas técnicas en la plataforma Secop II que solo permitieron el paso de adjudicación del proceso hasta el día 1 de julio de 2021.</t>
  </si>
  <si>
    <t>PA-GEESE-01-02</t>
  </si>
  <si>
    <t>Adoptar la política de transparencia del sector extractivo en el marco del SGR.</t>
  </si>
  <si>
    <t>Durante el mes de abril se avanzó con las etapas iniciales del proceso de contratación, se estima presentar la primera semana de mayo a comité de contratación el proceso de Política de Transparencia, para ese misma semana proceder con la publicación del proyecto de pliegos.</t>
  </si>
  <si>
    <t>PA-GEESE-01-03</t>
  </si>
  <si>
    <t>Socializar propuesta de la política de transparencia del sector extractivo en el marco del SGR.</t>
  </si>
  <si>
    <t>Durante el mes de abril  se adelantaron 4 talleres con Asociaciones, MHCP, Ecopetrol y Sociedad Civil, con el objetivo de socializar y discutir los parámetros para el desarrollo de la politica.</t>
  </si>
  <si>
    <t>Se prevé que con la adjudicación del proceso de selección se dará inicio a la construcción de la política de transparencia, para su posterior adopción y socialización.</t>
  </si>
  <si>
    <t>PA-GEESE-02-01</t>
  </si>
  <si>
    <t xml:space="preserve">Número de documento requeridos para la puesta en marcha del Incentivo a la Produccion 2021- 2022.   </t>
  </si>
  <si>
    <t>Elaborar el documento técnico que contenga la metodología para incentivar la producción y presentarlo ante la Comisión Rectora para su adopción.</t>
  </si>
  <si>
    <t>Durante el mes de febrero se realizaron mesas de trabajo en las cuales se evaluaron los comentarios de la Oficina Asesora Jurídica del MME y de Ministerio de Hacienda y Crédito Público sobre la metodología, la cual se remitirá para su adopción a la Comisión Rectora - CR, del SGR durante el mes de marzo.
Se elaboró proyecto de Resolución y se socializó para comentarios, se estima su expedición una vez adoptada la metodología por parte de la CR del SGR.</t>
  </si>
  <si>
    <t xml:space="preserve">"Durante el mes de marzo se presentó la propuesta de metodología ante la Comisión Rectora - CR para su adopción, las mesas se llevaron a cabo los días 5 y 15 de marzo de la vigencia, en esta última fecha se aprobó la publicación del proyecto de Acuerdo que incluye la metodología.
Así mismo, se publicó para comentarios el proyecto de Resolución, se estima su expedición para el mes de abril."
</t>
  </si>
  <si>
    <t>El 21 de abril se expido la resolución 40124 de 2021,  la cual  contiene la metodología adoptada por la Comisión Rectora del SGR paraincentivar  la producción para el bienio 2021-2022.</t>
  </si>
  <si>
    <t>El 21 de abril se expido la resolución 40124 de 2021,  la cual  contiene la metodología adoptada por la Comisión Rectora del SGR para incentivar  la producción para el bienio 2021-2022.</t>
  </si>
  <si>
    <t>A partir de la expedición de la Resolución 4 0124 del 21 de abril de 2021 y su comunicación a todos los autores necesarios para la gestión de los recursos, al cierre del mes de mayo se dió cumplimiento a la meta prevista para el año 2021.</t>
  </si>
  <si>
    <t>PA-GEESE-02-02</t>
  </si>
  <si>
    <t>Establecer la metodología de la asignación, distribución parcial y ejecución de los recursos del Incentivo a la Producción, Exploración y Formalización fuente rendimientos financieros bienio 2021- 2022.</t>
  </si>
  <si>
    <t>PA-GEESE-02-03</t>
  </si>
  <si>
    <t>Realizar evento de Lanzamiento IP 2021-2022</t>
  </si>
  <si>
    <t>Durante el mes de enero no se tenía prevista la realización del evento de lanzamiento IP 2021-2022</t>
  </si>
  <si>
    <t>Durante el período se avanzó en la agenda tentativa del evento y las respectivas invitaciones.</t>
  </si>
  <si>
    <t xml:space="preserve">"Durante el período se avanzó en la agenda tentativa del evento y las respectivas invitaciones.
"
</t>
  </si>
  <si>
    <t>El 21 de abril en la cuidad de Riohacha, La Guajira, se realizó el evento de lanzamiento del IP 2021-2022. Por lo tanto esta meta ya se cumplió.</t>
  </si>
  <si>
    <t>PA-GEESE-02-04</t>
  </si>
  <si>
    <t>Comunicar a las entidades territoriales beneficiadas la Resolución de asignación, distribución parcial y ejecución de los recursos del Incentivo a la Producción, Exploración y Formalización fuente rendimientos financieros bienio 2021- 2022.</t>
  </si>
  <si>
    <t>Durante el mes de enero no se tenía previsto comunicarle a las entidades territoriales beneficiadas la Resolución de asignación, distribución parcial y ejecución de los recursos del Incentivo a la Producción para el bienio 2021- 2022.</t>
  </si>
  <si>
    <t>Se elaboró proyecto de Resolución y se socializó para comentarios, se estima su expedición y comunicación a las  entidades territoriales beneficiadas,  una vez adoptada la metodología por parte de la CR del SGR.</t>
  </si>
  <si>
    <t xml:space="preserve">Desde la formulación del Plan de Acción se programó "comunicar a las entidades territoriales beneficiadas la Resolución de asignación, distribución parcial y ejecución de los recursos del Incentivo a la Producción, Exploración y Formalización fuente rendimientos financieros bienio 2021- 2022" para marzo, sin embargo, de acuerdo con las situaciones que se presentaron especialmente en la programación de las jornadas de análisis de la metodología por parte de la Comisión Rectora del Sistema, se remitió a la OPGI el ajuste correspondiente para el mes de abril.
</t>
  </si>
  <si>
    <t>El 21 de abril se llevo acabo el lanzamiento IP 2021-2122 en la cuidad de Riohacha , La Guajira, a la cual asistieron algunos alcaldes y secretarios de planeación de manera virtual y presencial de los municipios beneficiarion del IP 2021 -2022. La comunicación formal para las entidades territoriales están programadas para el mes de mayo.</t>
  </si>
  <si>
    <t>A partir de la expedición de la Resolución 4 0124 del 21 de abril de 2021, se comunicó mediante oficio a cada entidad territorial beneficiaria del incentivo a la producción el monto de los recursos asignados. De la misma manera, se informó al Departamento Nacional de Planeación – DNP y al Ministerio de Hacienda y Crédito Público – MHCP, al grupo Ejecución de Presupuestal del MME para los fines pertinentes. De esta manera se da cumplimiento a la meta prevista para el año 2021.</t>
  </si>
  <si>
    <t>PA-GEESE-03-01</t>
  </si>
  <si>
    <t xml:space="preserve">Número de proyectos del sector Minero Energético aprobados con recursos del Incentivo a la Producción, Exploración y Formalización.   </t>
  </si>
  <si>
    <t>Acompañar a las entidades territoriales en la estructuración, presentación y aprobación de proyectos del sector Minero Energético financiados con recursos del Incentivo a la Producción, Exploración y Formalización.</t>
  </si>
  <si>
    <t>Durante el mes de febrero no se tenía prevista la aprobación de nuevos proyectos de inversión con cargo a los recursos del Incentivo a la Producción, no obstante, se realizó acompañamiento a las entidades territoriales en lo relacionado con la entrada en vigencia de la Ley 2056 de 2020 y el Decreto 1821 de 2021 participando en las jornadas de capacitación organizadas por el DNP.
Para este periodo se identifican 4 proyectos en alto estado de maduración (Arauquita, San Miguel, Palermo y Pto Caicedo) a los cuales, desde el GEESE, se les realiza el acompañamiento técnico y se estima sean aprobados al cierre del primer trimestre 2021.</t>
  </si>
  <si>
    <t xml:space="preserve">"Para este periodo se identifican dos proyectos en alto estado de maduración, 
Arauquita y Sabana de Torres, a los cuales se les continúa realizando el acompañamiento técnico requerido para que sean aprobados próximamente. "
</t>
  </si>
  <si>
    <t xml:space="preserve">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No obstante lo anterior, se mantienen identificados dos (2) proyectos en alto estado de maduración del sector minero-energético, Arauquita y Sabana de Torres, a los cuales se les continúa realizando el acompañamiento técnico requerido para que sean aprobados próximamente. </t>
  </si>
  <si>
    <t xml:space="preserve">Durante el mes de mayo no se aprobaron proyectos del sector minero energético  con cargo a los recursos del Incentivo a la Producción.
No obstante lo anterior, se mantienen identificados tres (3) proyectos en alto estado de maduración en los municipios de Arauquita, San Antero y Puerto Escondido a los cuales se les continúa realizando el acompañamiento técnico requerido para que sean aprobados próximamente. </t>
  </si>
  <si>
    <t>Durante el mes de junio no se aprobaron proyectos del sector minero energético  con cargo a los recursos del Incentivo a la Producción.
No obstante lo anterior, se mantienen identificados cinco (5) proyectos en alto estado de maduración en los municipios de Arauquita (citado para el OCAD Paz de julio), San Antero y Puerto Escondido (cuentan de manera preliminar con concepto unico sectorial favorable), Chinú y Cotorra.</t>
  </si>
  <si>
    <t>PA-GEESE-04-01</t>
  </si>
  <si>
    <t xml:space="preserve">Número de proyectos de inversión de otros sectores aprobados con cargo a los recursos del Incentivo a la Producción, Exploración y Formalización.   </t>
  </si>
  <si>
    <t>Acompañar a las entidades territoriales en la estructuración, presentación y aprobación de proyectos de otros sectores financiados con recursos del Incentivo a la Producción, Exploración y Formalización.</t>
  </si>
  <si>
    <t>Durante el mes de febrero no se tenía prevista la aprobación de nuevos proyectos de inversión con cargo a los recursos del Incentivo a la Producción, no obstante para este periodo se identificaron 14 proyectos en alto estado de maduración, en los municipios de Arauca, Pto López, Corrales, Socota, San Juan de Betulia, Momil, San Andrés de Sotavento, San Carlos, Neiva, Pto Asis, Puerto Boyaca, Pore, Yaguará y San Luis de Palenque
En relación con las capacitaciones durante este período se avanzó en la elaboración de la presentación que se va a realizar de Incentivo, así como la invitación y se agruparon 17 dptos inicialmente
El Grupo de Comunicaciones del MME está apoyando la elaboración de  una plantilla de invitación</t>
  </si>
  <si>
    <t xml:space="preserve">Durante el mes de marzo no se tenía prevista la aprobación de nuevos proyectos de inversión con cargo a los recursos del Incentivo a la Producción, la meta se ajustó y  remitió a la OPGI (ajuste al PA del GEESE), no obstante, para este periodo se identificaron 19 proyectos en alto estado de maduración, en los municipios de Momil,  San Andrés de Sotavento, San Carlos, Neiva, Puerto Asis, Arauca, Puerto López, Tibú, Corrales, Socota, San Juan de Betulia, Puerto Nare, Puerto Triunfo, Cartagena, El Paso, Rio de Oro, Puerto Wilches, Yaguara y Pore en los cuales se intensificó el acompañamiento por parte del GEESE.
</t>
  </si>
  <si>
    <t>Durante el mes de abril no se dio inicio a las sesiones de  OCAD PAZ, aunado a las fallas en el aplicativo SUIFP -SGR, en el cual se carga la información de los proyectos para el desarrollo del ciclo para su aprobación, razón por la cual no se realizó aprobación de nuevos proyectos de inversión con cargo a los recursos del Incentivo a la Producción que provienen de los rendimientos financieros del SGR y que se aprueban en dicha instancia.
Asi mismo, en relación con los proyectos a ser financiados con los recursos de incentivo a la producción fuente funcionamiento se esta tramitando un ajuste a la distribución de los recursos asignados en el bienio 2019-2020, con ocasión al comportamiento del recaudo.
No obstante lo anterior, se mantienen identificados proyectos en medio y alto estado de maduración de diferentes sectores en municipios como: Arauca, Puerto López, Tibú, San Juan de Betulia,Cartagena, El Paso, entre otros.</t>
  </si>
  <si>
    <t>Durante el mes de mayo se llevó a cabo la sesión No. 51 de OCAD PAZ, en el cual se dio la aprobación al proyecto de inversión del sector transporte en el municipio de Yondó - Antioquia con cargo a los recursos del Incentivo a la Producción por $10.158.523.367.
Adicionalmente, se mantienen identificados proyectos en medio y alto estado de maduración de diferentes sectores en municipios como: Arauca, Puerto Triunfo, Cartagena, Nemocón, Barrancabermeja, Dibulla, entre otros, que se prevé sean aprobados durante el mes de junio.</t>
  </si>
  <si>
    <t>Durante el mes de junio se aprobaron 5 proyectos cofinanciados con recursos del incentivo a la producción para los municipios de Barrancabermeja, Yondo, Cartagena, Nemocon y Puerto Triunfo.
Adicionalmente se identifican  20 proyectos en medio y alto estado de maduración:  Arauca, Acacias, Puerto López, Pore, Tibú, Caimito, La Unión,  Sativasur, Puerto Nare,  Talaigua Nuevo,  Aguachica, La Jagua de Ibirico,  Dibulla, Puerto Wilches, San Vicente de Chucurí,   San Carlos, Puerto Asis ,  Neiva, Melgar y Purificación, que se prevé sean aprobados próximamente.</t>
  </si>
  <si>
    <t>PA-GEESE-04-02</t>
  </si>
  <si>
    <t>Capacitar a las entidades territoriales en la estructuración y formulación de proyectos del sector para ser  financiados con cargo a los recursos del IP.</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</si>
  <si>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remitió a la OPGI el ajuste correspondiente para 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</si>
  <si>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t>
  </si>
  <si>
    <t>Durante el mes de mayo se realizaron 8 capacitaciones virtuales en los Departamentos de Sucre (2), Tolima, Cundinamarca, Putumayo, Huila y Cauca (2).</t>
  </si>
  <si>
    <t>Durante el mes de junio se llevaron a cabo 6 capacitaciones presenciales en los Departamentos de Chocó, Santander, Sucre, Antioquia (Caucasia para los municipios del Bajo Cauca), Nariño y Antioquia - Medellín.</t>
  </si>
  <si>
    <t>PA-GEESE-05-01</t>
  </si>
  <si>
    <t xml:space="preserve">Nuevos usuarios de energía eléctrica con recursos SGR (proyectos aprobados)   </t>
  </si>
  <si>
    <t>Nuevos usuarios de energía eléctrica con recursos SGR Acompañar a las entidades territoriales en la estructuración, presentación y aprobación de proyectos de energía eléctrica</t>
  </si>
  <si>
    <t xml:space="preserve">A partir de la solicitud remitida a la OPGI sobre el ajuste al PA del GEESE, para este periodo no se reportan proyectos aprobados para nuevos usuarios de energía,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la no activación del OCAD Paz y la revisión por instrucción de entes de control de los proyectos viabilizados en 2020 pendientes de aprobación,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</si>
  <si>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sesión No. 51 de OCAD PAZ del 20 de mayo se aprobaron quince proyectos de energía eléctrica en los municipios de: Novita - Chocó (628 usuarios); Valledupar - Cesar (388 usuarios); Florencia - Caquetá (329 usuarios); Unguía - Chocó (353 usuarios); Tibú - Norte de Santander (487 usuarios); Caquetá y Putumayo (559 usuarios); Fundación - Magdalena (550 usuarios); Puerto Asis - Putumayo (333 usuarios); Dibulla - La Guajira (1079 usuarios); Sardinata - Norte de Santander (448 usuarios); Departamento de Nariño (716 usuarios); Interconexión Cauca - Nariño (15.699 usuarios); La Paz - Cesar (528 usuarios); Saravena - Arauca (424 usuarios) y Yondó - Antioquia (70 usuarios) para un total de 22.591 nuevos usuarios de energía eléctrica.</t>
  </si>
  <si>
    <t>Durante el mes de junio se llevó a cabo la sesión No. 52 de OCAD PAZ, en la cual se aprobaron 28 proyectos por $223.468 millones para 11.259 nuevos usuarios de energía eléctrica.</t>
  </si>
  <si>
    <t>Nuevos usuarios de energía eléctrica con recursos SGR (proyectos terminados) Acompañar  a las entidades territoriales en la ejecución y terminación de los contratos de los proyectos de energía eléctrica</t>
  </si>
  <si>
    <t xml:space="preserve">"Para este período se reportan 7 proyectos terminados para 1109 nuevos usuarios de energía así:
Vichada (247), Manaure (305), Labranzagrande (207), Unguia (154), Maicao (137), Recetor (7) e Iscuandé (52)"
</t>
  </si>
  <si>
    <t>En mayo 2021 se reportan nueve (9) proyectos terminados que benefician a 1.566 nuevos usuarios, así: Yondó - Antioquia (783); La Plata - Huila (197); Departamento de Caquetá (49); El Dorado - Meta (64); Yopal - Casanare (137); Montecristo - Bolívar (75); Albania - La Guajira (76); Táme - Arauca (186); La Gloria - Cesar (8)</t>
  </si>
  <si>
    <t>En junio 2021 se reportaron ocho (8) proyectos terminados que beneficiaron a 896 nuevos usuarios, así: Vigía del Fuerte (198) Puerto Concordia (112) Ovejas (78) El Doncello (84) Puerto Leguizamo (35) Puerto Guzmán (2 proy 294 usuarios) y San Carlos de Guaroa (95)</t>
  </si>
  <si>
    <t>PA-GEESE-06-01</t>
  </si>
  <si>
    <t xml:space="preserve">Nuevos usuarios de gas domiciliario en proyectos aprobados con recursos del SGR.   </t>
  </si>
  <si>
    <t>Nuevos usuarios de gas domiciliario en proyectos aprobados con recursos del SGR.  Acompañar a las entidades territoriales en la estructuración, presentación y aprobación de proyectos para nuevos usuarios de gas domiciliario.</t>
  </si>
  <si>
    <t xml:space="preserve">"A partir de la solicitud remitida a la OPGI sobre el ajuste al PA del GEESE, para este periodo no se reportan proyectos aprobados para nuevos usuarios de gas.
Lo anterior teniendo en cuenta los procesos para la implementación del nuevo SGR, especialmente en lo relacionado con la expedición del Decreto de Cierre que determina los montos disponibles de las asginaciones de bienios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</si>
  <si>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Para el mes de mayo no se tuvo aprobaciones para proyectos de Gas, seguimos trabajando en la formulación de 6 proyectos de gas que tienen alto nivel de maduración.</t>
  </si>
  <si>
    <t xml:space="preserve">Para el mes de junio se reporta un proyecto aprobados para 5.199 nuevos usuarios de gas (Implementación del subsidio al derecho de conexión a la red de gas domiciliario de usuarios de estratos 1 y 2 en zona urbana y rural en municipios del departamento del Huila) por $7.959 millones </t>
  </si>
  <si>
    <t>PA-GEESE-07-01</t>
  </si>
  <si>
    <t xml:space="preserve">Monto de los recursos de la Asignación Paz destinados a proyectos del sector (millones de pesos)   </t>
  </si>
  <si>
    <t>Monto de los recursos de la Asignación Paz destinados a proyectos del sector Acompañar a las entidades territoriales en la estructuración, formulación y aprobación de proyectos del sector para ser financiados con cargo a la Asignación para la Paz.</t>
  </si>
  <si>
    <t>Monto</t>
  </si>
  <si>
    <t>Durante el mes de enero no hubo citación para el OCAD Paz para la aprobación de alguno de los proyectos viabilizados durante el año 2020 (48 proyectos por $704.989 millones)
Adicionalmente, se han identificado 16 proyectos de energía eléctrica para 6.127 nuevos usuarios $108.237 millones, que se prevé sean financiados con recursos de Asignación para la Paz, en los cuales se ha intensificado el acompañamiento por parte del GEESE.
En relación con las capacitaciones durante este período se avanzó en la presentación que desde el Grupo Formulación complementará las capacitaciones de Incentivo para abordar el tema de Asignación para la Paz.</t>
  </si>
  <si>
    <t xml:space="preserve">"A partir de la solicitud remitida a la OPGI sobre el ajuste al PA del GEESE, para este periodo no se reportan recursos de la Asignación para la Paz destinados a proyectos del Sector.
Lo anterior teniendo en cuenta los procesos para la implementación del nuevo SGR, especialmente en lo relacionado con la expedición del Decreto de Cierre que determina los montos disponibles de las asignaciones del bienio anterior, así como los ajustes de los aplicativos en los cuales se carga la información de los proyectos, la actualización de certificaciones y demás documentos soporte conforme con la normativa vigente: Los nuevos procesos de revisión de los proyectos y la no activación del OCAD Paz y la revisión, por instrucción de entes de control, de los proyectos viabilizados en 2020 pendientes de aprobación, se han generado demoras en los trámites para la presentación, viabilidad y aprobación de nuevos proyectos, por lo cual se hace necesario  ajustar la meta y reprogramar los períodos a partir de los cuales se prevé dar inicio a la aprobación de proyectos del sector minero-energético financiados con recursos del SGR"
</t>
  </si>
  <si>
    <t>En la sesión 51 de OCAD Paz del 20 de mayo de 2021, se aprobaron 15 proyectos de energía eléctrica en los municipios de: Novita - Chocó (12.151 m); Valledupar - Cesar (7.806m); Florencia - Caquetá (6.998m); Unguía - Chocò (6.874m); Tibú - Norte de Santander (9.730m); Caquetá y Putumayo (11.085m); Fundación - Magdalena (11.054m); Puerto Asis - putumayo (6.713); Dibulla - la Guajira (20.198m); Sardinata - Norte de Santander (8.939m); Departamento de Nariño (10.459m); Interconexión cauca - Nariño (334.307m); La Paz - Cesar (10.455m); Saravena - Arauca (8.519m); Yondó - Antioquia (1.386m)</t>
  </si>
  <si>
    <t>PA-GEESE-07-02</t>
  </si>
  <si>
    <t>Capacitar a las entidades territoriales en la estructuración y formulación de proyectos del sector para ser financiados con cargo a la Asignación para la Paz.</t>
  </si>
  <si>
    <t xml:space="preserve">Desde la formulación del Plan de Acción se programaron las capacitaciones a partir del mes de marzo, sin embargo, de acuerdo con las situaciones que se presentaron especialmente en la programación de las jornadas de análisis de la metodología por parte de la Comisión Rectora del Sistema, se hace necesario ajustar los indicadores y el avance al mismo a partir del mes de abril.
</t>
  </si>
  <si>
    <t>A partir de la expedición de la Resolución 4 0124 del 21 de abril del 2021, se realizaron 14 capacitaciones de las cuales 13 fueron virtuales y 1 fue de manera presencial con las entidades territoriales beneficiadas con el recursos del IP Rendimientos Financieros 30% asignación 2021, en las cuales se incluyó lo relacionado con la estructuración y formulación de proyectos de energía electrica con cargo a los recursos de la asignación para la Paz.</t>
  </si>
  <si>
    <t>PA-GEESE-08-01</t>
  </si>
  <si>
    <t xml:space="preserve">Número de socializaciones y entregas de proyectos financiados con recursos del Incentivo a la Producción, Exploración y Formalización acompañadas por el MME.   </t>
  </si>
  <si>
    <t>Acompañar en territorio las socializaciones de los proyectos de inversión financiados con recursos de Incentivo a la Producción, Exploración y Formalización especialmente con el proposito de resaltar la importancia del sector extractivo.</t>
  </si>
  <si>
    <t>Durante el mes de febrero se realizaron 3 socializaciones en los municipios (Cabuyaro, Guamal y Valle del Guamuez).
Se realizó el 12/02/2021 socialización en el Municipio de Cabuyaro, Meta. 
Se realizó el 17/02/2021 socialización en el Municipio de Guamal, Meta
Se realizó el 18/02/2021 socialización en Valle del Guamuez, Putumayo</t>
  </si>
  <si>
    <t xml:space="preserve">Se realizó la socialización de 6 proyectos en  los  municipios (Montelíbano, Puerto Asis (2),   Barrancabermeja, San Marcos, Saravena).  
</t>
  </si>
  <si>
    <t xml:space="preserve">Se realizó la socialización de 5 proyectos,  los  municipios fueron (Albania - La Guajira, Cicuco - Bolívar, Trinidad - Casanare, Purificación -Tolima y Colosó -Sucre). </t>
  </si>
  <si>
    <t>Durante el mes de mayo no se realizó la socialización de ningún proyecto, teniendo en cuenta los problemas de orden público que afrontó el país.</t>
  </si>
  <si>
    <t>Durante el mes de junio no se realizó la socialización de ningún proyecto, teniendo en cuenta los problemas de orden público que afrontó el país.</t>
  </si>
  <si>
    <t>PA-GEESE-08-02</t>
  </si>
  <si>
    <t>Acompañar la entrega de proyectos de inversión financiados con recursos de Incentivo a la Producción, Exploración y Formalización especialmente con el proposito de resaltar la importancia del sector extractivo.</t>
  </si>
  <si>
    <r>
      <rPr>
        <b/>
        <sz val="9"/>
        <rFont val="Calibri"/>
        <family val="2"/>
        <scheme val="minor"/>
      </rPr>
      <t xml:space="preserve">
</t>
    </r>
    <r>
      <rPr>
        <sz val="9"/>
        <rFont val="Calibri"/>
        <family val="2"/>
        <scheme val="minor"/>
      </rPr>
      <t>Durante el mes de febrero se realizaron 3 entregas en los municipios
 (Albania, Piedras y Aguazul).
Se realizó el 18/02/2021 entrega en el Municipio de Albania, La Guajira. 
Se realizó el 26/02/2021 entrega en el Municipio de Piedras, Tolima
Se realizó el 26/02/2021 entrega en el Municipio de Aguazul, Casanare</t>
    </r>
  </si>
  <si>
    <t xml:space="preserve">Se realizó la entrega de 8 proyectos en los municipios (San Martín , San Vicente de Chucuri, Puerto Lopez, Valle del Guamuez , San Marcos, Tauramena, Chiriguana, Palermo).
</t>
  </si>
  <si>
    <t>Así mismo, se realizó la entrega de 2 proyectos en los municipios Riohacha- La Guajira y Talaigua Nuevo- Bolívar)</t>
  </si>
  <si>
    <t>Se realizó la entrega de 1 proyecto en el municipio de Los Córdobas (Córdoba)</t>
  </si>
  <si>
    <t>Durante el mes de junio se realizó la entrega de cuatro proyectos en los municipios de Sahagùn (2), Piamonte y Morroa.</t>
  </si>
  <si>
    <t>PA-GEESE-09-01</t>
  </si>
  <si>
    <t xml:space="preserve">Comités Tripartitos Subnacionales conformados y sesionandos   </t>
  </si>
  <si>
    <t xml:space="preserve">Durante el mes de marzo se aprobaron los términos de referencia para avanzar con el proceso, el cual se inició enviando la invitación al estudio de mercado del proceso del Banco Mundial, estudio que concluyó con tres propuestas (EY , Inerco y JA&amp;A). Se obtuvo  respuesta positiva de prórroga por parte del Banco Mundial.  No obstante, hasta no obtener la respuesta formal, estará pendiente la continuación de los demás trámites.
</t>
  </si>
  <si>
    <t>Durante el mes de mayo se obtuvo la prórroga aprobada por parte del Banco Mundial, se adelantaron los trámites en su plataforma.
Se prevé para junio la firma de la Resolución por parte de MHCP con la incorporación de los recursos con el propósito de avanzar con el primer proceso de contratación para alcanzar la meta de Comités Tripartitos Subnacionales propuesta para la vigencia.</t>
  </si>
  <si>
    <t>Durante el mes de junio con la emisión de la prórroga y la resolución de incorporación de recursos, se iniciaron los trámites para adelantar los procesos de contratación, se actualizó el PAE y se dió inicio al cargue de los procesos en la plataforma Secop II</t>
  </si>
  <si>
    <t>PA-GGFC-01-01</t>
  </si>
  <si>
    <t xml:space="preserve">
 Informes de Ejecución trimestrales, con el Análisis y los resultados de seguimiento a la información presupuestal</t>
  </si>
  <si>
    <t>ocarmona@minenergia.gov.co</t>
  </si>
  <si>
    <t>Informes trimestrales</t>
  </si>
  <si>
    <t>Se inicia la revisión de los informes financieros del cierre de la ejecución del año 2019 y 2020, evaluando las  mejoras en el analisis y en el seguimiento de la ejecución.</t>
  </si>
  <si>
    <t xml:space="preserve">Se esta trabajando la mejoría en el analisis del informe financiero del cierre de la ejecución 2020, Desarrollando mejoras en la analitica historica y las proyecciones 2021, que permiten una oportuna toma de deciciónes, para mejorar la ejecución de la entidad, de la misma forma se  fortalecieron las reuniones y archivos de seguimiento mensual de ejecución Vs Pae que se inicaron a trabajar con las dependencias. </t>
  </si>
  <si>
    <t xml:space="preserve">Se generó el informe financiero del primer trimestre de 2021, Desarrollando un anexo correspondiente al analisis comparativo de la ejecución con recomendaciones de mejora potenciales para el nivel directivo, con el fin de permitir una oportuna toma de deciciónes, que conlleven a mejorar la ejecución de la entidad, Asi mismo se enviaron comunicación a todas las dependencias del Ministerio con el analisis y seguimiento de la Ejecución de la Vigencia Actual y la Reserva Presupuestal 2020 y se  desarrollaron  las reuniones y  de seguimiento del mes de abril de ejecución presupuestal Vs Pae con las dependencias. </t>
  </si>
  <si>
    <t>Se fortalecieron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t>
  </si>
  <si>
    <t>Se hacen mejoras adicionales a los  informes que se envían quincenal y  mensualmente a las dependencias del Ministerio con el analisis y seguimiento de la Ejecución de la Vigencia Actual y la Reserva Presupuestal 2020, con las que se desarrollan las reuniones y  de seguimiento del mes de mayo de ejecución presupuestal Vs Pae, y se carga la información del SPI del DNP.
Se continua trabajando en la mejora del informe trimestral de ejecución presupuestal, para ajustar su presentación para el mes de julio de 2021</t>
  </si>
  <si>
    <t>PA-GGFC-01-02</t>
  </si>
  <si>
    <t>Implementación de la interoperabilidad del sistema SIIF Nación con la actualización de la información presupuestal con el sistema neón.</t>
  </si>
  <si>
    <t>% de implementación</t>
  </si>
  <si>
    <t>De acuerdo al contrato suscrito con Megasoft para la implementación de la interoperabilidad SIIF Neón, se desarrollaron las primeras reuniones para el levantamiento de requerimientos y el analisis de los documentos tecnicos para iniciar el desarrollo.</t>
  </si>
  <si>
    <t>De acuerdo al contrato suscrito con Megasoft para la implementación de la interoperabilidad SIIF Neón, se desarrollaron reuniones para aclarar procesos tecnicos del desarrollo y alcarar el procedimiento de las pruebas a realizar entre el Ministerio de Hacienda y Credito Publico (Sistema SIIF) y el Ministerio de Minas y Energía (Sistema Neón)</t>
  </si>
  <si>
    <t xml:space="preserve">De acuerdo al contrato suscrito con Megasoft para la implementación de la interoperabilidad SIIF Neón, se realizó el proceso de  pruebas satisfactorias de consultas de CDP´s desde el sistema neón en interfaz con el SIIF Nación del  Ministerio de Hacienda y Credito Publico </t>
  </si>
  <si>
    <t>De acuerdo al contrato suscrito con Megasoft para la implementación de la interoperabilidad SIIF Neón, se realizaron reuniones de entendimiento con Megasoft, para el levantamiento del documento de desarrollo del neón del proceso de consultas de CDP´s en interfaz con el SIIF Nación del  Ministerio de Hacienda y Credito Publico,</t>
  </si>
  <si>
    <t>De acuerdo al contrato suscrito con Megasoft para la implementación de la interoperabilidad SIIF Neón, se cerró el docimento del levantamiento del documento de desarrollo del neón del proceso de consultas de CDP´s en interfaz con el SIIF Nación del  Ministerio de Hacienda y Credito Publico, e inició su proceso de searrollo, de la misma forma se solicito al Ministerio de Hacienda el desarrollo del servicio de registros presupuestales, para validarlo y poder dar inicio a las pruebas</t>
  </si>
  <si>
    <t>PA-GCID-01-01</t>
  </si>
  <si>
    <t xml:space="preserve">Capacitar y promover la cultura de la legalidad en el 60% de los funcinarios y contratistas del MinEnergía, por medio de la exposición de temas realacionados con la transparencia, integridad y lucha contra la crrupción.   </t>
  </si>
  <si>
    <t>Campañas de promoción de la transparencia, fomento de la denuncia, conflictos de intereses y reflexión sobre la gestión pública con integridad.</t>
  </si>
  <si>
    <t>Documental</t>
  </si>
  <si>
    <t>OneDrive</t>
  </si>
  <si>
    <t>Sin programación</t>
  </si>
  <si>
    <t>En el mes de marzo se inició la campaña sobre "denuncias efectivas" por medio de piezas publicadas semanalmente por vivo energía.</t>
  </si>
  <si>
    <t>En el mes de abril se dio inicio a la campaña sobre conflictos de interés, de esta forma se promociona la lectura del código de integridad y transparencia donde los funcionarios pueden consultar el trámite.</t>
  </si>
  <si>
    <t>En el mes de mayo se presentó la carrera de observación para la participación de todos los funcionarios y contratista en actividades que promueven la transparencia y el Código de integridad y Buen Gobierno del MinEnergía.</t>
  </si>
  <si>
    <t>PA-GCID-01-02</t>
  </si>
  <si>
    <t>Jornadas de formación y capacitación a los servidores públicos que integran la entidad.</t>
  </si>
  <si>
    <t>El día 26 de febrero se realizó la acapacitación de "Gestión de conflcitos de interés" al GADPI.</t>
  </si>
  <si>
    <t>Se inició el plan de capacitación de Gestión de conflictos de interés. El 25 de marzo se capacitó a la Subdirección Administrativa y Financiera y a la Dirección de Hidrocarburos</t>
  </si>
  <si>
    <t>El 19 de abril se realizó la capacitación con la Oficina Asesora Jurídica. El 30 de abril se realizó la capacitación sobre conflictos de interés en la oficina de asuntos ambientales y sociales.</t>
  </si>
  <si>
    <t>El 7 de mayo se realizó la capacitación de gestión de conflictos de interés con la Dirección de Energía Electrica. El 13 de mayo se realizó la capacitación de gestión de conflictos de interés con el Grupo de Gestión Financiera y Contable.</t>
  </si>
  <si>
    <t>PA-GCID-02-01</t>
  </si>
  <si>
    <t xml:space="preserve">Cumplir con el 100% de la estrategia de preparación, adecuación e implementación de la gestión disciplinaria, en el marco de la Ley 734 de 2002 y la entrada en vigencia del nuevo Código General Disciplinario (Ley 1952 de 2019.   </t>
  </si>
  <si>
    <t>Definición y desarrollo de la estrategia de preparación, adecuación e implementación del Codigo General Disciplinario, Ley 1952 de 2019.</t>
  </si>
  <si>
    <t>La estrategia fue definida y plasmada en un documento consolidado y aprobado por el Grupo de Gestión de Asuntos Disciplinarios y Promoción de la Integridad.</t>
  </si>
  <si>
    <t>La estrategia para el año 2021 tiene aprobado el indice y los 4 primeros capitulos que permiten tener un guía para la implementación del codigo general disciplinario.</t>
  </si>
  <si>
    <t>En el mes de mayo el GADPI avanzó al 50% del informe estratégico con la consolidación de 6 capítulos proyectados.</t>
  </si>
  <si>
    <t>El GADPI proyectó en el mes de junio el 60% del informe estrategico para la actuación disciplinaria.</t>
  </si>
  <si>
    <t>PA-GCID-02-02</t>
  </si>
  <si>
    <t>Estrategias jurídicas que garanticen la eficiencia, legalidad y oportunidad en el desarrollo de los procesos disciplinarios en primera instancia, en el marco de la ley 734 y del nuevo código general disciplinario, a través de las sesiones de instancia de impulso procesal.</t>
  </si>
  <si>
    <t>El día 22 de febrero se realizó la primera instancia de impulso procesal del GADPI</t>
  </si>
  <si>
    <t>En el mes de marzo se realizaron dos (2) instancias de impulso procesal y una instancia extraordinaria para revisión del expediente 569 de 2020.</t>
  </si>
  <si>
    <t>En el mes de marzo se realizaron dos (2) instancias de impulso procesa</t>
  </si>
  <si>
    <t>El 3 de mayo se realizó instancia de impulso procesal para la revisión de los procesos disciplinarios en curso.El 28 de mayo se realizó instancia de impulso procesal para la revisión de los procesos disciplinarios en curso.</t>
  </si>
  <si>
    <t>En el mes de junio se realizó instancia de impuslo procesal ordinaria el día 8 de junio e instancia de impulso extraordinaria el 28 de junio de 2021.</t>
  </si>
  <si>
    <t>PA-GCID-02-03</t>
  </si>
  <si>
    <t>Capacitaciónes  técnicas, tecnológicas y jurídicas de los miembros del GADPI, dirigidas a la apliación del nuevo Código General Disciplinario.</t>
  </si>
  <si>
    <t>El día 26 de febrero se realizó la capacitación tecnica sobre  PRINCIPIOS GENERALES NUEVO CÓDIGO DISCIPLINARIO a cargo de María José Bolaño.</t>
  </si>
  <si>
    <t>El día 24 y 29 de febrero se realizó la capacitación jurídica y técnica sobre "medios de prueba en el nuevo código general disciplinario" a todos los integrantes del GADPI.</t>
  </si>
  <si>
    <t>El 22 de abril se realizó la capacitación sobre nulidades en el nuevo código general disciplinario.</t>
  </si>
  <si>
    <t>El día 31 de mayo de 2021 se realizó capacitación interna sobre las modificaciones a la indagación preliminar e investigación disciplinaria con la Ley 1952 de 2019 a cargo de Valeria Guillen.</t>
  </si>
  <si>
    <t>No se pudo realizar la capacitación programada dado que el proyecto de ley 432 de 2021 modificó la entrada en vigencia del código general disciplinario por lo que el porceso disciplinario de la Ley 1952 objeto de la capacitción tiene diferencias.</t>
  </si>
  <si>
    <t>PA-GCID-02-04</t>
  </si>
  <si>
    <t>Avances para consolidación del documento de cartilla "Guía práctica para entender el proceso disciplinario", según la regulación de la ley 734 y la del nuevo Código General Disciplinario.</t>
  </si>
  <si>
    <t>En el mes de marzo se creó y aprobó el indice de la cartilla propuesta por el GADPI, avanzando así en el 5% del desarrollo de la meta.</t>
  </si>
  <si>
    <t>En el mes de marzo se avanzó en la elabración de la cartilla plasmando la intruducción y objetivos de la misma, siendo estos items aprobados por el GADPI.</t>
  </si>
  <si>
    <t xml:space="preserve">En el mes de abril se aprobaron los 3 primeros capitulos de la guia de asuntos disciplinarios </t>
  </si>
  <si>
    <t xml:space="preserve">En el mes de abril y mayo se consolidó el 45% de la cartilla disciplinaria con la aprobación de los 6 primeros capítulos pactados. </t>
  </si>
  <si>
    <t>No se pudo continuar con el desarrollo de la cartilla disciplinaria programada dado que el proyecto de ley 432 de 2021 modificó la entrada en vigencia del código general disciplinario por lo que el porceso disciplinario de la Ley 1952 objeto de la cartilla tiene diferencias.</t>
  </si>
  <si>
    <t>PA-GCID-02-05</t>
  </si>
  <si>
    <t>Iniciativas con las autoridades disciplinarias del sector de minas y energía, dirigidas a la apliación del nuevo Código General Disciplinario.</t>
  </si>
  <si>
    <t>En el marco de la Red de Asuntos Disciplinarios del Sector de Minas y Energía se creó y presentó informe de necesidades para la implementación del Código General Disciplinario Ley 1952 de 2019 con la aprobación de todas las autoridades disciplinarias del sector de minas y energía.</t>
  </si>
  <si>
    <t>PA-GJC-01-01</t>
  </si>
  <si>
    <t xml:space="preserve">Diseño del sistema de información para cobro coactivo   </t>
  </si>
  <si>
    <t>rleal@minenergia.gov.co</t>
  </si>
  <si>
    <t>reportes</t>
  </si>
  <si>
    <t>Archivo Grupo</t>
  </si>
  <si>
    <t>Con el equipo técnico ejecutor del contrato GGC-0492-2020, en el marco de la implementación del SGDEA se evaluó y se encontró plena viabilidad para modelar el proceso coactivo, teniendo en cuenta los siguientes aspectos: La modelación del proceso es viable adelantarla mediante el uso del BPM integrado al SGDEA. Para el pleno de desarrollo de las funcionalidades y controles requeridos, dadas las condiciones propias del proceso y su alcance jurídico, es necesario adelantar desarrollos y servicios complementarios. El proceso de modelación implica el análisis de la estructura de datos y control de variables de acceso sobre el contenido del proceso y el flujo del mismo.</t>
  </si>
  <si>
    <t xml:space="preserve">Se adelantó la normalización plena de la data asociada a los expedientes, a fin de ser creados masivamente en el sistema ARGO, por parte del equipo de soporte de la Mesa de Ayuda. Se espera que en dichos expedientes se pueda iniciar el cargue de la documentación de cada tramite y disponer los mecanismos para controlar digitalmente el avance documental de los mismos.
La totalidad de expedientes de Jurisdicción Coactiva que a la fecha se encuentran activos y de los que se solicitó la creación masiva asociados a procesos coactivos en ARGO, ya están creados y disponibles para comenzar con el descargue de las comunicaciones.
Los expedientes actualmente abiertos y objeto de digitalización durante la vigencia 2020, en sus versiones digitales, fueron sometidos a revisión a fin de determinar las condiciones de migración de la data y cargue de las imágenes a la Plataforma
</t>
  </si>
  <si>
    <t>Se adelantó mesa de trabajo entre las dependencias a fin de establecer la estrategia de verificación de expedientes y confirmación de calidad del dato sobre la información objeto de digitalización previo al cargue de los documentos a ARGO.
Se adelantó revisión de la documentación digitalizada contrastándola con los expedientes físicos para una muestra representativa. Dependiendo de la valoración de los resultados se definen las acciones pertinentes.</t>
  </si>
  <si>
    <t>1. Frente al sistema, se priorizó la modelación del proceso coactivo en el marco del sondeo de mercado SIP-027-2021. Si bien los costos referidos en la totalidad del sondeo superaron  el presupuesto. Luego de evaluado con los supervisores se priorizó dicho servicio dentro de la segunda fase del sgdea a desarrollarse en vigencia 2021.
2. La data y documentos digitalizados en 2020 fueron migrados a instalacion de prueba sobre el cual se procedió a revisar y solicitar ajustes en el cargue en producción.</t>
  </si>
  <si>
    <t>PA-GJC-02-01</t>
  </si>
  <si>
    <t xml:space="preserve">Desarrollo, producción y puesta en marcha de la Plataforma Digital   </t>
  </si>
  <si>
    <t>Sistema desarrollado, en producción y puesto en marcha.</t>
  </si>
  <si>
    <t>Archivocoactivos</t>
  </si>
  <si>
    <t>PA-GGC-01-01</t>
  </si>
  <si>
    <t>Documento Procedimiento Terminación Anticipada CPS con Persona Natura</t>
  </si>
  <si>
    <t>Plan Anual de Adquisiciones</t>
  </si>
  <si>
    <t>mapedroza@minenergia.gov.co</t>
  </si>
  <si>
    <t>PA-GGC-01-02</t>
  </si>
  <si>
    <t>Documento Procedimiento Cesión CPS con Persona Natural</t>
  </si>
  <si>
    <t>PA-GGC-01-03</t>
  </si>
  <si>
    <t>Documento Procedimiento de Supervisión e Interventoría para apoyar a quienes ejercen esta función en la entidad</t>
  </si>
  <si>
    <t>PA-GGC-01-04</t>
  </si>
  <si>
    <t>Capacitar para fortalecer la capacidad de las servidoras y de los servidores públicos que participan en los comités evaluadores de procesos contractuales en: Aspectos importantes a tener en cuenta en la evaluación técnica de procesos contractuales. Evaluación</t>
  </si>
  <si>
    <t>Capacitación  30 junio 2021</t>
  </si>
  <si>
    <t>PA-GGC-01-05</t>
  </si>
  <si>
    <t xml:space="preserve"> Implementar campos de datos de información y de plantillas en Aplicativo Neón para generar Memorandos de Supervisión.</t>
  </si>
  <si>
    <t>PA-GGC-01-06</t>
  </si>
  <si>
    <t xml:space="preserve"> Implementar campos de datos de información y de plantillas en Aplicativo Neón para generar Formato Integral de Supervisión de Informe Periódico y Pago.</t>
  </si>
  <si>
    <t>PA-GGC-01-07</t>
  </si>
  <si>
    <t xml:space="preserve"> Implementar campos de datos de información y de plantillas en Aplicativo Neón para generar Reportes de Equidad y Género.</t>
  </si>
  <si>
    <t>PA-GGC-01-08</t>
  </si>
  <si>
    <t xml:space="preserve"> Implementar campos de datos de información y de plantillas en Aplicativo Neón para generar Datos personales del proponente persona natural (factor RH, sexo, género, datos de contacto, perfil profesional + Reportes.</t>
  </si>
  <si>
    <t>PA-GGC-01-09</t>
  </si>
  <si>
    <t xml:space="preserve"> Implementar campos de datos de información y de plantillas en Aplicativo Neón para generar Instrumentos de Planificación y Acuerdos de Gestión con la OPGI.</t>
  </si>
  <si>
    <t>PA-OAAS-01-01</t>
  </si>
  <si>
    <t xml:space="preserve">Incorporación de los lineamientos para la transversalización del enfoque de derechos humanos, género y diferencial étnico del sector Minero Energético   </t>
  </si>
  <si>
    <t xml:space="preserve">Porcentaje de cumplimiento en la actualización de la línea base sobre la composición personal de planta y contratistas [Ministerio de Minas y Energía - Adscritas], comparativo 2020-2021.  </t>
  </si>
  <si>
    <t>OAAS</t>
  </si>
  <si>
    <t>Proceso en contratación</t>
  </si>
  <si>
    <t>No se adelantaron actividades en el periodo</t>
  </si>
  <si>
    <t xml:space="preserve">Revisión de informacion a solicitar frente a la composion de personal de planta y contratistas en MME y adscritas. </t>
  </si>
  <si>
    <t>Se solicitó información sobre composición de planta y contratistas a MME y 7 entidades adscritas (Pendientes UPME,CREG). Una vez se cuente con toda la información se inicia el analisis correspondiente.</t>
  </si>
  <si>
    <t>Se solicita informacion sobre composicion de planta y contratistas a MME y 7 entidades adscritas. Una vez se cuente con toda la informacion se inicia el analisis correspondiente</t>
  </si>
  <si>
    <t>Se finaliza el analisis de informacion y se prepara presentación frente a las variables consideradas. Socializacion para el mes de Julio</t>
  </si>
  <si>
    <t>PA-OAAS-01-02</t>
  </si>
  <si>
    <t>Porcentaje de cumplimiento de benchmarks priorizadas en el diagnóstico derivado del Sello Equipares.</t>
  </si>
  <si>
    <t xml:space="preserve">Construción y concertación de plan de acción 2021 con dependencias, para el cumplimiento de benchmarks en las cinco (5) dimensiones. </t>
  </si>
  <si>
    <t>Construccion , validacion y socializacion del plan de acción. Aprobacion PNUD OK. Se realiza capacitación frente presupuestos con enfoque de género, con apoyo del DNP [trazador presupuestal]. Facilitación de insumos guía para lograr una comunicación sensible al género:
1. Facilitacion de insumos para lograr una comunicación sensible al genero ( Construccion de una cartilla sobre lenguaje inclusivo). Marzo 100%</t>
  </si>
  <si>
    <t>Construcción , validación y socialización del plan de acción. Aprobación PNUD OK. Avances en la dimension 1 y 2</t>
  </si>
  <si>
    <t>PRIMERA DIMENSIÓN: Total requerimientos: 10
En gestion: 1.1.1-1.1.2-1.1.3-1.1.4-1.2.2-1.3.1-1.4.1.
Cumplidos: 1.2.1- Evento capacitacion presupuesto.
Pendiente : 2 (No tienen cierre en el primer trimestre)Se tiene excluido el 1.1.5 por orientacion de PNUD (Auditorias de impactos en igualdad de generos).
SEGUNDA DIMENSIÓN: Total requerimientos: 10
En gestion: 2.1.1-2.1.2-2.2.1-2.3.1-2.3.2-2.4.2-2.5.1- 2.6.1-2.6.2
Cumplidos: 2.4.1-2.6.1  (Capacidades en GeneroLenguaje inclusivo, actas sesiones comité asuntos de genero).
Pendientes de Reporte por parte de oficinas 4</t>
  </si>
  <si>
    <t xml:space="preserve">Se realiza seguimiento a la matriz generada para la implementacion de las 5 dimensiones donde se encuentran en gestion 26 apartados . Se da por cumplidas 4 acciones </t>
  </si>
  <si>
    <t>PA-OAAS-01-03</t>
  </si>
  <si>
    <t>Número de proyectos con evidencia de inclusión del enfoque de género al interior del Ministerio de Minas y Energía.</t>
  </si>
  <si>
    <t>Unidad</t>
  </si>
  <si>
    <t>No se adelantaron actividades en el perido</t>
  </si>
  <si>
    <t xml:space="preserve">Definción terminos de referencias para contratacion con los consultores por parte del Banco Mundial </t>
  </si>
  <si>
    <t>Cooperación con banco mundial , para que la persona pueda apoyar al diagnostico a los 3 subsectores. Se define términos de referencia para contratación con los posibles consultores.</t>
  </si>
  <si>
    <t>Cooperacion con banco mundial , para que la persona pueda apoyar al diagnostico a los 3 subsectores. Se define terminos de referencia para contratacion con los posibles consultores</t>
  </si>
  <si>
    <t>Avances en la formualcion de la estrategia para la inclusion del enfoque de genero en los proyectos eolicos a ser implementados en la guajira.</t>
  </si>
  <si>
    <t>PA-OAAS-01-04</t>
  </si>
  <si>
    <t>Avance en la formulación de planes de acción con entidades adscritras y FENOGE, orientadas a garantizar la equidad de género en su gestión.</t>
  </si>
  <si>
    <t xml:space="preserve">25/02/2021: Reunión con enlaces de género de entidades adscritas para  socializar el plan de acción 2021 del Comité de Asuntos de Género, como lineamiento para las actividades a desarrollar. Se remite matriz que contiene plan de acción 2020. </t>
  </si>
  <si>
    <t>Se cuenta con 5 planes de accion entregadas por las adscritas. Validacion el dia 6 de abril para su aprobacion. Pendiente 1 UPME</t>
  </si>
  <si>
    <t xml:space="preserve">Se cuenta con 6 planes de acción entregadas por las entidades adscritas. </t>
  </si>
  <si>
    <t>Se cuenta con 6 planes de accion entregadas por las adscritas.</t>
  </si>
  <si>
    <t>PA-OAAS-01-05</t>
  </si>
  <si>
    <t>Porcentaje de avance en la implementación de las acciones a corto y mediano plazo de la  estrategia de transversalización del enfoque de derechos humanos del Ministerio de Minas y Energía</t>
  </si>
  <si>
    <t>Se cuenta con una estructura inicial borrador de los  documentos *Compromiso politico con los DDHH del MinEnergia *Documento Marco de referentes y conceptos claves en DDHH y Empresas del Ministerio de Minas y Energía. Se realiza revisión de los referentes nacionales e internacionales existentes.</t>
  </si>
  <si>
    <t>Se encuentra aprobado con versión final (Documento marco que compila y explica los referentes y conceptos claves en DDHH que adopta el Ministerio).
Documento de compromiso en el que el Ministerio de Minas y Energía integra la protección y el respeto de los DDHH como parte de su objetivo misional. versión final.Se han realizado reuniones con Comunicaciones para revisar la estructura del contenido de los materiales asociados a DDHH. Se realizó una revisión de referentes y guías para recibir y gestionar quejas elacionadas con derechos humanos (Guía práctica para el diseño de sistemas de alerta y respuesta temprana de conflictos sociales - PNUD).
Construcción documento borrador sobre el sistema de alerta y respuesta temprana para el sector minero energético. Se desarrolla el documento "Identificacion de Riesgos para personas defensoras de derechos Humanos por actividades del MME".</t>
  </si>
  <si>
    <t>Se revisa con el Ministro y Jefe OAAS el documento compromiso donde se integra la proteccion y el respeto de los DDHH. Se esta preparando documento estrategia de comunicaciones para los asuntos de DDHH.
Avances con comunicaciones frente a la parte grafica,los cuales serian aplicables a los documentos definidos. Construccion documento borrador sobre el sistema de alerta y respuesta temprana para el sector minero energetico. Se desarrolla el documento "Identificacion de Riesgos para personas defensoras de derechos Humanos por actividades del MME"</t>
  </si>
  <si>
    <t>Se cuenta con documento para la adopcion del compromiso con la protección y el respeto de los DDHH. e cuenta con documento borrador y se  realizara talleres con los equipos de DDHH poder identificar responsabilidades y plantear los pilotos con la implementacion de la politica. Se cuenta con la estrategia de comunicaciones. Se socializo documento el cual permite gestionar quejas relacionada con DDHH con Mininterior  y UNP.</t>
  </si>
  <si>
    <t>PA-OAAS-01-06</t>
  </si>
  <si>
    <t>Porcentaje de avance en la implementación del plan de acción 2020 para la implementación de la política de derechos humanos junto con la ANH, ANM y UPME</t>
  </si>
  <si>
    <t xml:space="preserve">Se realiza el primer acercamiento con las adscritas . Se tiente definido plan de accion por parte de UPME y ANH. ANM se hizo una primera reunion , sin embargo no hay claridad frente a la persona delegada para el manejo de DDHH.Sesiones para la homolgacion de conocimeinto frente al mapa de Riesgos con la UPME. </t>
  </si>
  <si>
    <t>Las entidaes adscritas solicitaron mas tiempo para hacer la entrega de los planes de acción. Plazo Máximo.Sesiones para la homolgación de conocimeinto frente al mapa de Riesgos con la UPME, se realiza validación y retroalimentacion frente al mapa de riesgos desarrollado en la plataforma.</t>
  </si>
  <si>
    <t>Las adscritas solicitaron mas tiempo para hacer la entrega de los planes de accion. Plazo Maximo. Sesiones para la homolgacion de conocimeinto frente al mapa de Riesgos con la UPME, se realiza validación y retroalimentacion frente al mapa de riesgos desarrollado en la plataforma.</t>
  </si>
  <si>
    <t>Formulacion del plan de accion con todos los subsectores . Se realiza sesion con ANH y UPME, se avanza en el documento en la definición del plan de trabajo. Los procesos que se tenian contemplados la participacion de las adscritas, ha demandado mas tiempo del planificado entendiendo el tiempo de las mismas. Se tuvo un retraso debido a algunas respuestas y recursos necesarios para la ejecucion de estas actividades. frente al proceso frente al proceso de concertacion para la priorizacion de regiones en las que se llevaran a cabo los pilotos para el testeo de la herramiento del mapa de riesgo</t>
  </si>
  <si>
    <t>PA-OAAS-01-07</t>
  </si>
  <si>
    <t>Avance en la concertación de acciones con empresas y/o gremios para la implementación de los lineamientos de equidad de género en el sector minero energético.</t>
  </si>
  <si>
    <t xml:space="preserve">04/02/2021: Segunda sesión alianza equidad de género en la que se realizó la socialización del estudio sectorial como insumo para la construcción del plan de acción.  </t>
  </si>
  <si>
    <t>Participacion y asistencia a las sesiones conovcadas en el marco de la alianza minero energetica en el mes de Febrero y Marzo</t>
  </si>
  <si>
    <t xml:space="preserve">Participación y asistencia a las sesiones convocadas en el marco de la alianza minero energética en el mes de Abril </t>
  </si>
  <si>
    <t>Asistencia Mes Mayo  en las sesiones convocadas en el marco de la alianza minero energetica</t>
  </si>
  <si>
    <t>Asistencia Mes Junio  en las sesiones convocadas en el marco de la alianza minero energetica</t>
  </si>
  <si>
    <t>PA-OAAS-01-08</t>
  </si>
  <si>
    <t>Porcentaje de avance de la formulación e implementación de ruta de trabajo para la socialización y apropiación del ABC de la debida diligencia en derechos humanos para las empresas del sector minero energético</t>
  </si>
  <si>
    <t xml:space="preserve">Documento borrador frente a la estrategia de socializacion. </t>
  </si>
  <si>
    <t>Definición de la estrategia para la socialización y apropiación del ABC en debida diligencia empresarial en DDHH para las empresas del Sector. Se programa sesión con los grupos para sesiones practicas. Se cuenta con el Diseño de la metodologia y actividades para la socialización del ABC, sin embargo frente a la implementación de estas acciones a incorpar dentro de los planes de acción territorizados en el marco de EDRT  esta sujeto a la definición y asignación de grupos en cada uno de los territorios.</t>
  </si>
  <si>
    <t>Se programa sesion con los grupos para sesiones practicas. Se cuenta con el Diseño de la metodologia y actividades para la socializacion del ABC, sin embargo frente a la implementacion de estas acciones a incorpar dentro de los planes de accion territorizados en el marco de EDRT  esta sujeto a la definicion y asignacion de grupos en cada uno de los territorios.</t>
  </si>
  <si>
    <t xml:space="preserve">Definición de la estrategia para la socialización y apropiación del ABC en debida diligencia empresarial en DDHH . Se cuenta con la primera implementacion en la empresa Miraflores. </t>
  </si>
  <si>
    <t>PA-OAAS-01-09</t>
  </si>
  <si>
    <t>Porcentaje de avances en la concertación e implementación de planes de trabajo 2020 con los Grupos de Trabajo de Derechos Humanos e Industria</t>
  </si>
  <si>
    <t>Frente a la estrategia de fortalecimeinto se cuenta con 3 planes de trabajo que apunta al fortalecimiento de procesos de debida diligencia en el sector. Coordinacion de reuniones con el equipo de enlace territorial y con el lider de estrategia de desarrollo  y relacionamiento, lideres de relacionamiento de hidrocarburos, mineria y energia para articular la hoja de ruta de DDHH con la estrategia.</t>
  </si>
  <si>
    <t>Se cuenta con los planes de trabajo apobados por las secretarias tecnicas ORO, COBRE, CARBON y ENERGIA. La próxima semana se espera contar con HIDROCARBUROS.
Se encuentra el borrador del documento frente a la estrategia para el fortalecimiento de la debida diligencia en DDHH.</t>
  </si>
  <si>
    <t>Se cuenta con los planes de trabajo apobados por las secretarias tecnicas ORO y COBRE, CARBON, ENERGIA e  HIDROCARBUROS.
Se encuentra  documento final frente a la estrategia para el fortalecimiento de la debida diligencia en DDHH</t>
  </si>
  <si>
    <t xml:space="preserve">Se cuenta con los planes de trabajo apobados por las secretarias tecnicas ORO y COBRE, CARBON, ENERGIA e  HIDROCARBUROS.
Se encuentra  documento final frente a la estrategia para el fortalecimiento de la debida diligencia en DDHH. Avances en el proceso de construccion del protocolo para una gestión responsable en DDHH en eventos de protesta sociales .Se envio encuestas de las empresas para poder recolectra insumos.En Guajira se realiza presentacion de propuesta con Cerrejon. </t>
  </si>
  <si>
    <t>PA-OAAS-01-10</t>
  </si>
  <si>
    <t>Espacios de intercambio con actores del orden subnacional [entidades territoriales, comunidad, organizaciones de la sociedad civil] para la implementación de los lineamientos para la equidad de género del sector minero energético.</t>
  </si>
  <si>
    <t xml:space="preserve">Se ha realizado gestiones para la consecución de recursos de cooperación itnernacional, incluidas reuniones con equipos [Banco Interamericano de Desarrollo, Banco Mundial, Embajada de Canadá] y la elaboración de fichas de solicitud y planes de acción. </t>
  </si>
  <si>
    <t>Paper enviado a la Embajada de Canada
Banco Mundial : Se envia perfil
GIZ: Terminos de referencia</t>
  </si>
  <si>
    <t>Proceso contratación profesional en temas de Genero en gestión.
Revisión con el equipo de Monica, Jovanny (contexto de territorios priorizados)
Adriana Sanchez (Validacion conextro territorios priorizados)
Nicolai (Integración estrategia putumayo)
Revision con oficina de planeacion y gestion internacional. No se ha recibido respuesta de operacion internacional frente a la ejecucion de la consultoria.</t>
  </si>
  <si>
    <t xml:space="preserve">Proceso contratacion profesional en temas ded Genero en gestión.
Revision con el equipo de Monica, Jovanny (contexto de territorios priorizados)
Adriana Sanchez (Validacion conextro territorios priorizados)
Nicolai (Integracion estrategia putumayo)
Revision con oficina de planeacion y gestion internacional. No se ha recibido respuesta de operacion internacional frente a la ejecucion de la consultoria. </t>
  </si>
  <si>
    <t>Se contrata la persona encargada de gestionar los  espacios de intercambio.</t>
  </si>
  <si>
    <t>PA-OAAS-01-11</t>
  </si>
  <si>
    <t>Porcentaje de cumplimiento en actualización de la línea base sobre la transversalización del enfoque de género en empresas, discriminada por subsectores</t>
  </si>
  <si>
    <t xml:space="preserve">Durante el último trimestre de 2020, se realizó el levantamiento de la información correspondiente a 2019. 
En septiembre de 2021 se iniciará el levantamiento de la información correspondiente a 2020, para lo cual se están realizando gestiones para  la consecución de recuros de cooperación que apoyen el estudio. </t>
  </si>
  <si>
    <t xml:space="preserve">Se cuenta con el estudio sectorial del año 2020. Publicacion la cual se encuentra en la pagina web y en redes sociales </t>
  </si>
  <si>
    <t>Actividad inicia en el mes de Septiembre 2021</t>
  </si>
  <si>
    <t xml:space="preserve">Hitos establecidos para ejecución en el mes de Septiembre </t>
  </si>
  <si>
    <t>PA-OAAS-02-01</t>
  </si>
  <si>
    <t xml:space="preserve">Implementación del 38% del PIGCC ME 2019-2030   </t>
  </si>
  <si>
    <t>Actualización de resolución 40807 de 2018 (por la cual se adopta el PIGCCme), acorde a la actualizacipon de la Meta Nacionalmente determinada del año 2020</t>
  </si>
  <si>
    <t xml:space="preserve">Sin Actividades programadas </t>
  </si>
  <si>
    <t>Se cuenta con documento borrador. Sobre la tercera semana de Abril se realizará divulgacion del documento a las empresas y agremiaciones del sector minero, hidrocarburos y electrico, y diferentes oficinas del ministerio y unidades adscritas. ( Se trabaja sobre la identificacion del potencial de mitigacion para alcanzar las metas de reduccion de emisiones)</t>
  </si>
  <si>
    <t>Se socializa documento en las mesas de cambio climatico. Se construye base de acuerdo a lo concertado en las mesas y se envia a las empresas y adscritas. Se realiza presentación por parte del Ministro sobre la estrategia y adopción de la norma.(PPT)</t>
  </si>
  <si>
    <t>Se realizan algunos ajustes al documento tecnico  y se envió el documento a las  mesas de trabajo. Se realiza evaluación en archivo excel de las actividades de PIGCCMe que deben ser complementadas, actualizadas o eliminadas</t>
  </si>
  <si>
    <t>0,46</t>
  </si>
  <si>
    <t xml:space="preserve">Se realiza sesiones con los demas gremios donde ee recibe comentarios del documento , se cuenta con participacion de  asocarbono, UPME y otras empresas , se consolida estos comentarios los cuales el 50% ya tienes retroalimentacion del equipo.  Se tuvo reunion con el area juridica donde se revisa, se define cronograma de revision para planificar entregables. </t>
  </si>
  <si>
    <t>PA-OAAS-02-02</t>
  </si>
  <si>
    <t>Porcentaje de cumplimiento de las acciones establecidas en la resolución de emisiones fugitivas (emisiones de manejo de gas natural) para la Industria de Hidrocarburos</t>
  </si>
  <si>
    <t>El documento se encuentra en revision por parte de la direccion de Hidrocarburos</t>
  </si>
  <si>
    <t>El 30 de Marzo se presenta el borrador mas actualizado sobre la resolucion al ministro y se acuerda desarrollar una estrategia con la OAJ del ministerio para acelerar la publicacion del proyecto normativo.</t>
  </si>
  <si>
    <t xml:space="preserve">Se realizaron reuniones con la OAJ para la revisión del documento acto normativo en conjunto con la direccion de hidrocarburos. Se realiza capacitacion virtual (PPT) - ANH </t>
  </si>
  <si>
    <t xml:space="preserve">Se realiza capacitacion virtual (PPT) - ANH. Estructuramos las capacitaciones para el mes de Junio para atender a personal del MME y empresas del sector.  </t>
  </si>
  <si>
    <t>Se cuenta con comentarios finales por parte de la Oficina de asuntos juridicos frente al documento borrador</t>
  </si>
  <si>
    <t>PA-OAAS-02-03</t>
  </si>
  <si>
    <t>Formulación de la estrategia de carbono neutralidad del sector minero energético 2050</t>
  </si>
  <si>
    <t>Documentos definitivos y aprobados para la alianza por la carbononeutralidad.</t>
  </si>
  <si>
    <t>Se cuenta con documento borrador. Sobre la tercera semana de Abril se realizara divulgacion del documento a las empresas y agramaciones del sector minero, hidrocarburos y electrico, y diferentes oficinas del ministerio y unidades adscritas. ( Benchmarking internacional lineamiento de carbononeutralidad)</t>
  </si>
  <si>
    <t>Desarrollo del capitulo especifico para todo el tema de la inclusión carbono neutralidad. Adicionalmente se cuenta con un concepto del equipo de cambio climático frente a la estrategia 2050. análisis generalizado de la posición del sector de la posición de los stakeholders frente a la estrategia carbono neutralidad</t>
  </si>
  <si>
    <t>Se realiza informe posicion de stakeholders en lo referente a carbono neutralidad (Según resultados de la 8va mesa de cambio climatico)</t>
  </si>
  <si>
    <t>Se identifica la  posicion de stakeholders en lo referente a carbono neutralidad (Según resultados de la 8va mesa de cambio climatico)</t>
  </si>
  <si>
    <t>PA-OAAS-03-01</t>
  </si>
  <si>
    <t xml:space="preserve">Desarrollar Capacidades para la Gestión Técnica y del Conocimiento del Sector Minero Energético   </t>
  </si>
  <si>
    <t>Porcentaje de avance de la estrategia de inclusión de acciones ciudadanas para la incidencia en el cumplimiento de la política de Cambio Climático</t>
  </si>
  <si>
    <t xml:space="preserve">Se reprograma la mesa climatica para la tercera semana de abril (19 y 23 de Abril). En proceso revision documento tecnico final. </t>
  </si>
  <si>
    <t xml:space="preserve">Se realizó la mesa de cambio climático. Se define documento borrador propuesta y contamos con 2 aliados (Colombia inteligente y Grupo de Gestión de la información y servicio al ciudadano).  </t>
  </si>
  <si>
    <t>Se realiza Mesa de Cambio Climatico se realizan diferentes acciones de relacionadas con la participacion ciudadana (Apropiacion social ): Avance de red de cultura energetica, desarrollo para capacitacion frente al uso de la guia de cambio climatico, conversacion con grupos ciudadanos de interes , informe de desarrollo y validacion en validación</t>
  </si>
  <si>
    <t>Se cuenta con actas de las mesas de cambio climatico. , se realizan diferentes acciones de relacionadas con la participacion ciudadana (Apropiacion social ): Avance de reto de cultura energetica (Propuesta de lanzamiento y convenio con Oficina de participacion ciudadana) desarrollo para capacitacion frente al uso de la guia de cambio climatico (4 sesiones y 26 empresas capacitadas), conversacion con grupos ciudadanos de interes (red academica RAU y mesa nacional de energia de jovenes)</t>
  </si>
  <si>
    <t>PA-OAAS-03-02</t>
  </si>
  <si>
    <t xml:space="preserve">Adopción de metodologías para realizar análisis de riesgo de desastres para procesos y subsectores priorizados </t>
  </si>
  <si>
    <t>Porcentage</t>
  </si>
  <si>
    <t>Se realiza solicitud de CDP a la oficina de Planeacion con justificacion tecnica para la realizacion de un nuevo convenio con PNUD.</t>
  </si>
  <si>
    <t>Se cuenta con CDP y se envía estudio previo a PNUD</t>
  </si>
  <si>
    <t>Se cuenta con CDP y se envia estudio previo a PNUD</t>
  </si>
  <si>
    <t>PA-OAAS-03-03</t>
  </si>
  <si>
    <t>Estrategia de promoción de la Gobernanza de la GRD al interior para el sector minero energético
ejecutada</t>
  </si>
  <si>
    <t xml:space="preserve">Avance en la estructuracion de los modulos I y II , Se realizo gestion con la oficina de infraestructura tecnologica y gestión documental para la migración del curso cuando se encuentre desarrollado (moodle). Se presenta propuesta de diseño de imagen por parte del desarrollador al ministerio. </t>
  </si>
  <si>
    <t>Aprobación Modulo I. Etapa final revisión Modulo II. Se realiza asiganción de usuario con INNOVA HUB para iniciar construcción de curso en Moodle del Ministerio. Se realiza reunión con Gestion Humana, se descarta incentivos para el curso. Se cuenta con las piezas de divulgación del curso, que se realiza esta semana para el mininterior y entidades adscritas. Inicio de curso para el 18 de Mayo hasta el 18 de Junio.</t>
  </si>
  <si>
    <t>Restructuracion y revisión Modulo III . Modulo IV se plantea estructura con PNUD y se desarrolla revisiones de materiales anexos como custionairios,webinars, podcast y trabajo transversal . Consolidacion de inscripciones de 235 participantes correspondinetnes a MM , adscritas, empresas y gremios  de los 3 subsectoresInicio de curso para el 18 de Mayo hasta el 18 de Junio.</t>
  </si>
  <si>
    <t xml:space="preserve">Se realiza evento de cierre del curso  el 25 de Junio. de los 200 inscritos, 95 estudiantes han culminado satisfactoriamente el curso. Para lograr los 110, se dejo abierta la plataforma hasta el 12 de julio. </t>
  </si>
  <si>
    <t>PA-OAAS-04-01</t>
  </si>
  <si>
    <t xml:space="preserve">Potencializar la capacidad de respuesta del sector minero energético por medio del trabajo colaborativo intersectorial   </t>
  </si>
  <si>
    <t>Incorporación del trabajo colaborativo intersectorial con Instituciones del sector minero energético y otros actores institucionales de interés.</t>
  </si>
  <si>
    <t xml:space="preserve">Unidad </t>
  </si>
  <si>
    <t>Analisis por parte del equipo para revisar alianzas. Reporte  contrato MME-ANH. Avance alianzas en : MME-Mtrabajo-ANH. Avance Minterior-MME-ANH.</t>
  </si>
  <si>
    <t xml:space="preserve">Aprobación por Ministerio de trabajo , MME y ANH firmado convenio. (Abril). (Adriana Rueda). </t>
  </si>
  <si>
    <t>Aprobacion por Miniterio de trabajo , MME y ANH firmado convenio</t>
  </si>
  <si>
    <t>PA-OAAS-04-02</t>
  </si>
  <si>
    <t xml:space="preserve">Actualización de  información prioritaria disponible en servidores para análisis de escenarios de riesgo y puesta a disposición de los  Sistemas de información del sector y de la SNGRD </t>
  </si>
  <si>
    <t>Se realiza reunion con el equipo Contractual, se define algunos lineamientos para el contrato con PNUD, se revisa recursos bajo un convenio nuevo. Pendiente finalizacion solicitud CDP</t>
  </si>
  <si>
    <t>PA-OAAS-05-01</t>
  </si>
  <si>
    <t xml:space="preserve">Desarrollar Capacidades para la medición y evaluación en los resultados de desarrollo sostenible en el Sector Minero Energético   </t>
  </si>
  <si>
    <t>Porcentaje de avance en la formulación del modelo de evaluación frente al desarrollo sostenible que contribuya a la toma de decisiones</t>
  </si>
  <si>
    <t>Proceso de contratación</t>
  </si>
  <si>
    <t xml:space="preserve">Se encuentra en revision los terminos de referencia. En proceso de contratacion con el equipo consultor. </t>
  </si>
  <si>
    <t xml:space="preserve">Se encuentra en revisión los terminos de referencia. En proceso de contratación con el equipo consultor. </t>
  </si>
  <si>
    <t xml:space="preserve">Se encuentra en estudio de mercado para poder avanzar en el proceso de Contratacion </t>
  </si>
  <si>
    <t>Se encuenta para aprobacion del proceso de contratos</t>
  </si>
  <si>
    <t>PA-OAAS-05-02</t>
  </si>
  <si>
    <t>Piloto enfocado en el despliegue del modelo de evaluación y desarrollo sostenible implementado.</t>
  </si>
  <si>
    <t xml:space="preserve">Se encuentra en revisión los términos de referencia. En proceso de contratación con el equipo consultor. </t>
  </si>
  <si>
    <t>PA-OAAS-05-03</t>
  </si>
  <si>
    <t xml:space="preserve">Porcentaje de avance en la integración de la información socio ambiental del sector minero energético </t>
  </si>
  <si>
    <t>Lanzamiento de la herramienta para poder revisar funcionalidad del CRM (19 Marzo). Inicio de Revisión de Plataforma, Se cuenta con un Cargue  de informacion , y se encuentra en vivo para pruebas. Se encuentra cargado Mesa Cambio climatico, Est. Participacion ciudadana, Reto 2021,PIGME, Alertas y delimitacion y programa de paramos.</t>
  </si>
  <si>
    <t xml:space="preserve">Estandarizacion de información cada vez que se realice un cargue al CRM. Se realiza un primer cargue , se cuenta con el primer formato el cual se envió a la consultoria. El dia viernes se realiza lanzamiento de la herramienta. Se tuvo una primera sesion para resolución de dudas en cuanto al manejo del CRM. Se ha cargado el 50 % de la información identificada en el plan de trabajo. </t>
  </si>
  <si>
    <t>Se tuvo una primera sesion para resolucion de dudas en cuanto al manejo del CRM. Se ha cargado el 80 % de la informacion identificada en el plan de trabajo.</t>
  </si>
  <si>
    <t>Se realiza cargue de informacion en CRM en los procesos de Genero, cambio climatico y DDHH</t>
  </si>
  <si>
    <t>PA-OAAS-06-01</t>
  </si>
  <si>
    <t xml:space="preserve">Implementación de política del programa de sustitución en áreas de páramo   </t>
  </si>
  <si>
    <t>Porcentaje de avance en la formulación de lineamientos del programa de sustitución en áreas de páramo</t>
  </si>
  <si>
    <t>Avance cumplidoen el periodo de reporte, se cuenta con documento preliminar de la priorizacion de areas objeto de los pilotos, documento sujeto a ajuste</t>
  </si>
  <si>
    <t>Se cuenta con la aprobacion del documento tecnico minero ambiental. Frente a la aprobacion de los lineamientos preliminares del programa de sustitucion de paramos se encuentran en ajustes finales. ANM DME DFM y OAAS seran los aprobadores de los lineamientos. Se esta trabajando con Min Ambiente referente a los lineamientos.</t>
  </si>
  <si>
    <t xml:space="preserve">Revisión de Perfiles para confirmar aplicabilidad en el objeto del contrato.Se realizó el estudio de mercado pendiente respuesta frente a este contrato. </t>
  </si>
  <si>
    <t xml:space="preserve">Se esta haciendo ajuestes de presupuesto y negociacion para subcripcion del proceso. Se realizo revisión al proyecto de acto administrativo del programa de reconversión. Se cuenta con estudios previos, en ajustes menores para su radicación </t>
  </si>
  <si>
    <t>Se cuenta con documento tecnico aprobado. Se esta haciendo ajuestes de presupuesto y negociacion para subcripcion del proceso. Se realizo revisión al proyecto de acto administrativo del programa de reconversión.</t>
  </si>
  <si>
    <t>PA-OAAS-06-02</t>
  </si>
  <si>
    <t>Piloto para la validación de la formulación de gradualidad en el marco del programa de sustitución en páramos</t>
  </si>
  <si>
    <t>La definicion de recursos para el piloto, dependerá de la priorización, la formulacion de alcances tecnicos se encuentra en ajustes en mesas tecnicas con ANM y UPME.</t>
  </si>
  <si>
    <t xml:space="preserve">Se cuenta con documento preliminar en donde se prioriza las areas objeto del piloto. Frente a los alcances tecnicos se encuentran  en ajustes en mesas tecnicas con ANM y UPME </t>
  </si>
  <si>
    <t>Se cuenta con documento con las areas definidas para el objeto del piloto. Se realiza el estúdio de mercado, pendiente respueta de resultados. Se realiza Gestión con DNP y Javieriana . el estúdio de sondeo de mercado y documentos ya se publicaron en el SECOP.</t>
  </si>
  <si>
    <t xml:space="preserve">Se cuenta con acuerdo de entendimiento con cooperacion alemana .Adicionalmente se adelanta negociacion con universidades y suscripcion del convenio. </t>
  </si>
  <si>
    <t xml:space="preserve">Se cuenta con documento con las areas definidas para el objeto del piloto. Se cuenta con proyecto / Memorando de entendimiento para firma de la Vice con la cooperacion alemana. Radicado para Vo Bo Jefe OAAS. Se cuenta con la formulacion de alcances tecnicos y estudio de mercado </t>
  </si>
  <si>
    <t>PA-OAAS-07-01</t>
  </si>
  <si>
    <t xml:space="preserve">Política sectorial adoptada de Gestión del Riesgo de Desastres   </t>
  </si>
  <si>
    <t>Porcentaje de avance en la formulación y socialización de resolución mediante la cual se adopta la política sectorial de Gestión del Riesg de Desastres 2020-2050</t>
  </si>
  <si>
    <t>Se recibieron documentos ajustados en el marco del convenio de cooperacion GGC419 -2020 los cuales hacen parte de la consolidacion politica sectorial</t>
  </si>
  <si>
    <t>Se realizaron talleres con los subsectores de Energia y Mineria  para identificar retos y problematicas en la incorporacion de la gestion de riesgo. Adicional se diseña y se divulga formularios para priorizacion de escenarios de riesgo a actores claves de los subsectores (Energia, mineria e Hidrocarburos)</t>
  </si>
  <si>
    <t xml:space="preserve">se realizaron propuestas de ajustes a la estructura de la politica presentada por PNUD. Se socializaron avances de la politica a la DME y Formalizacion minera con el obejtivo de fortalecer su participacion en el proceso. Se reliza la 3 mesa sectorial para validar el componente general y estrategico de la politica. Se solicita a PNUD el documento consolidado. Se realiza 3 mesas de expertos (por cada subsector) con la finalidad de discutir sobre la medotologia del analisis de riesgos y la priorizacion de escenarios. </t>
  </si>
  <si>
    <t xml:space="preserve">Se realiza reunión con PENTA, el cual apoya la consolidación del componente programatico. Se realiza reunión PNUD para discusión de lineas estrategicas. Se define una ruta de trabajo para poder construir el acto administrativo </t>
  </si>
  <si>
    <t>Se consolido por parte de PNUD el componente programatico de la politica el cual fue obejtivo de dos revisiones por parte de la OAAS. A la fecha se cuenta con un documento del componente programatico. Se realizacon sesiones de trabajo con PNUD y PENTA para la definicion de metodologia y alcance de las jornadas de socializacion y validacion. En el mes de Mayo se realizacion talleres de socializacion con la oficina de asuntos ambientales y sociales, se realizo la cuarta mesa tecnica sectorial para validar y socializar el componente programatico, y se realizaron talleres subsectoriales para la validacion y socializacion del componente programatico y priorizacion de acciones para la hoja de ruta de la politica.</t>
  </si>
  <si>
    <t xml:space="preserve">Se encuentra en revision la ultima version del documento de politica y se inicia la consolidacion de metas e indicadores de seguimiento y priorizacion de actividades de corto plazo. Se amplia los plazos del contrato con PNUD ( 15 Julio)  y se han tenido novedades por COVID-19. Se elaboraron piezas de divulgacion de campaña de expectativa frente al lanzamiento de la politica.
En produccion final el video lanzamiento de la politica, aprobando guion y diseño. </t>
  </si>
  <si>
    <t>PA-OAAS-08-01</t>
  </si>
  <si>
    <t xml:space="preserve">Articular Instancias de coordinación   </t>
  </si>
  <si>
    <t>Instancias de coordinación sectorial para la gestión ambiental y territorial articuladas (según territorios priorizados - Mesas de alto nivel Sectoriales)</t>
  </si>
  <si>
    <t xml:space="preserve">PINES: Se identifican cuellos de botella en el comité  tecnico del 3 febrero y 17 de Febrero. Se prepara una presentacion al Ministro indicando las alertas y el estado de avance de los proyectos para los 3 subsectores como preparacion al CIIPE del 3 Marzo </t>
  </si>
  <si>
    <t xml:space="preserve">Se realizó un comité tecnico en el mes de Marzo en el cual se definieron pasos a seguir para resolucion  de cuellos de botella, seguimiento de los nuevos PINES energias renovables y seguimiento para cada uno de los 3 subsectores </t>
  </si>
  <si>
    <t>Se detecta errores con la información del DNP. Se gestiona reporte para estas novedades (instancia Presidencia- DNP).Lentidud en la gestion de los tramites . Problemática en Corpo Guajira, novedad por temas de COVID-19. Revisar como hacer una gestión de apoyo técnico para dar resolución a los tramites pendientes.</t>
  </si>
  <si>
    <t xml:space="preserve">Se realiza la mesa de alto nivel, la mesa CARS y PINES.
Se vincula el MinAmbiente (DAASU) para apoyar al SINA (2personas) quienes son los que coordinan a la CARs . La idea es realizar una hoja de ruta para entender mas los apoyos requeridas para las CARS. SINA cuenta con un alcance en todos los subsectores  por lo que puede llegar a aimpactar su gestion por la cantidad de requerimientos </t>
  </si>
  <si>
    <t xml:space="preserve">Se realiza informe de la mesa de alto nivel del mes de Junio </t>
  </si>
  <si>
    <t>PA-OAAS-08-02</t>
  </si>
  <si>
    <t>Informes del estado de avance  de las acciones priorizadas a implementarse en 2021 de la Agenda Estratégica Intersectorial MME - MADS</t>
  </si>
  <si>
    <t>Se realizaron 3 Reuniones de concertacion del plan de accion al interior del sector 
acciones sectoriales hidrocarburos: Min Energia ( Dir Hidrocarburos y OAAS), Min Ambiente y ANH.
Acciones sectoriales de Energia: Min Energia, OAAS , Min Ambiente y UPME.</t>
  </si>
  <si>
    <t>Energia: se realiza reunion con minambiente, hay una propuesta de ajuste , pendiente visto de Min ambiente. De 11 productos , 10 se encuentran concertados en el plan de accion.se realizó el primer comité tecnico llega a una aprobación parcial del plan de accion.
Hidrocarburos: de 7 acciones sectoriales quedo pendiente 1.se realizó el primer comité técnico llega a una aprobación parcial del plan de accion. Se realiza sesion para validación de los planes de accion priorizados. Se define hitos producto de la priorizacion que se realizo al interior del sector. Se  realiza informacion frente a la validacion, concertacion y priorizacion de hitos por sector.
Mineria: se obtuvo la aprobacion de 8 acciones sectoriales  de 10 avanzando en un 88% . Se concertaran las 2 pendientes en un nuevo encuentro para envio a aprobacion al comité tecnico. se realizo el primer comité tecnico llega a una aprobacion parcial del plan de accion.
Transversales: De 14 acciones sectoriales se aprobaron 7 acciones avanzando en un 50%. se realizo el primer comité tecnico llega a una aprobacion parcial del plan de accion.</t>
  </si>
  <si>
    <t>Energia: se cuentan con 11 acciones sectoriales, y 18 productos.
Hidrocarburos: 7 acciones sectoriales, la cuales quedaron con  17 Productos.
Mineria : Se cuenta con 10 acciones sectoriales, con 12 productos.
Trasnversales : Se cuenta con 14 acciones sectoriales y 26 productos.
Se realiza informe correspondiente al entregable</t>
  </si>
  <si>
    <t xml:space="preserve">Se cuenta con los planes de accion sectoriales por cada subsector (Energia, Mineria, Hidrocarburos y transversales ) </t>
  </si>
  <si>
    <t>Se cuenta con informe donde se recopila lo gestionado en cada una de las reuniones y se se realiza seguimiento para poder definir el avance cuantitativo en cada uno de los subsectores</t>
  </si>
  <si>
    <t>PA-OAAS-09-01</t>
  </si>
  <si>
    <t xml:space="preserve">LINEA BASE DE LOS INDICADORES FORMULADOS   </t>
  </si>
  <si>
    <t>Porcentaje de avance en la construcción de línea base y medición de indicadores</t>
  </si>
  <si>
    <t>En compañia del PNUD se desarrollo una linea base para el municipio de Jericó en donde se contemplan 6 dimensiones las cuales tienen en cuenta contexto social, territorial, economico y otras que impacten a la region.</t>
  </si>
  <si>
    <t xml:space="preserve">Se realiza presentación por parte de PNUD frente al dashboard de indicadores para territorio. Se considera aplicable, sin embargo es necesario un programador para que se pueda ajustar los indicadores a los demas territorios. Se realiza análisis de la linea base general aplicados a otros territorios. En construcción levantamiento de información frente a indicadores puntuales de los territorios. En construcción documento teniendo en cuenta el proceso diagnóstico Puerto Wilches y Putumayo. Pendiente revisión Guajira. </t>
  </si>
  <si>
    <t>En construccion documento de indicadores  teniendo en cuenta el proceso diagnostico Puerto Wilches y Putumayo. En gestión  revision Guajira.</t>
  </si>
  <si>
    <t>linea base para Junio Con Jerico y Puerto Wilches</t>
  </si>
  <si>
    <t>PA-OAAS-010-01</t>
  </si>
  <si>
    <t xml:space="preserve">Adoptar la estrategia de relacionamiento territorial 2021   </t>
  </si>
  <si>
    <t>Reporte de avance de la adopción de la estrategia de relacionamiento territorial del sector minero energético</t>
  </si>
  <si>
    <t xml:space="preserve">Se envió para firmar del señor Ministro el documento final de la estrategia </t>
  </si>
  <si>
    <t>Ok aprobado por ministro el 18 de Marzo. se firma de documento el 12 de Abril donde se hace lanzamiento oficial lanzamiento por parte de comunicaciones.
Se realiza presentacion de la estrategia al equipo OAAS. Se realiza socializacion con el ViceMinisterio de Minas y la UPME.</t>
  </si>
  <si>
    <t xml:space="preserve">Se realiza firma en el evento de la Jugada del Equipo 10, donde se expone la EDRT. Se cuenta con dos piezas de comunicación :
1. Campaña de expectativa. Se publicó y queda OK.
2. Campaña de agradecimiento. Enviar corre de agradecimiento el dia 12 de Abril.
Socialización de la EDRT para el 20 de Abril. Se ha realizado socializacion en la Viceministerio de Minas  y UPME. Pendiente ANM, direccion hidrocarburos y energia.
 </t>
  </si>
  <si>
    <t>Se realiza firma en el evento de la Jugada del Equipo 10, donde se expone la EDRT. Se cuenta con dos piezas de comunicación :
1. Campaña de expectativa. Se publico y queda OK.
2. Campaña de agradecimiento. Enviar corre de agradecimiento el dia 12 de Abril. Socializacion de la EDRT para el 20 de Abril. Se ha realizado socializacion en la Viceministerio de Minas  y UPME. Pendiente ANM, direccion hidrocarburos y energia.</t>
  </si>
  <si>
    <t xml:space="preserve">Se realiza adopcion de laEDRT en el mes de Abril </t>
  </si>
  <si>
    <t>PA-OAAS-011-01</t>
  </si>
  <si>
    <t xml:space="preserve">Conformar Mesa técnica de articulación intersectorial del sector Minero Energético   </t>
  </si>
  <si>
    <t>Reporte de seguimiento de mesa  técnica de articulación intersectorial del sector Minero Energético conformada</t>
  </si>
  <si>
    <t>Mesas conformadas</t>
  </si>
  <si>
    <t>Se realiza Instalación de la mesa técnica de articulación intersectorial. Se realizará el 20 de Mayo el primer acercamiento para realizar analisis de la conflictividad.Se Realiza la próxima mesa el 22 de Junio para revisión planes de trabajo.</t>
  </si>
  <si>
    <t>Se Realiza la proxima mesa el 22 de Junio para revision planes de trabajo. Plan Guajira - Cesar. Y se realizó el 27 de Mayo el primer acercamiento para realizar analisis de la conflictividad</t>
  </si>
  <si>
    <t>Se Realiza mesa el 23 de Junio para revision planes de trabajo Cordoba Plan Guajira - Provincia de Cartama.
Se realiza  acercamiento para realizar analisis de la conflictividad</t>
  </si>
  <si>
    <t>PA-OAAS-012-01</t>
  </si>
  <si>
    <t xml:space="preserve">Formular Planes de acción con enfoque de género, derechos humanos y enfoque diferencial en territorios priorizados   </t>
  </si>
  <si>
    <t xml:space="preserve">Avance en la fomulación de planes de acción que impulsen el desarrollo territorial garantizando la inclusión del enfoque de derechos humanos y diferencial </t>
  </si>
  <si>
    <t>En gestión con los territorios priorizados</t>
  </si>
  <si>
    <t>*Quebradona: Se cuenta con la infografia del territorio, en proceso de validación. Se habla con  Comunicaciones para realizar actualizaciones de las infografias.Se revisa planes con la empresa para su respectiva gestión versus el MME esta ofreciendo.
*Buritica: acercamiento con los entes territoriales, presentaciones del plan de trabajo mostrando roles frente plan de trabajo.
*Guajira (Mineria): Terminar presentacion para comunicarla al gobernador, se arranca con temas de Cerrejon y diversificacion productiva del departamento.
*Cesar: Reunion con los delegados  para construir el plan Cesar . Construccion e  Incluición del  plan Boqueron. En coordinacion con la ANM para revision y formalizacion del plan.
*Corboda: Se realizara :
1. Cronologia con la ANM y comunidad
2. ANDJ para capacitacion frente a las demandas internacionales.
3. Reunion con Mineras Corboda de alto nivel
4. UNIMIL revision temas de seguridad
5. Respuestas de la comunidad frente a los comprimos de las visita.
6. Estructura Minero energetica de Cordoba.Se realiza hoja de ruta para Minerias Cordoba</t>
  </si>
  <si>
    <t>Avances en Putumayo, Cesar , Guajira, Buriticá, Provincia de Catamá y Soto Norte</t>
  </si>
  <si>
    <t>PA-OAAS-013-01</t>
  </si>
  <si>
    <t xml:space="preserve">Desarrollar piloto de proyectos referente a las soluciones basadas en la naturaleza funcionando   </t>
  </si>
  <si>
    <t xml:space="preserve">Porcentaje de avance en la implementación de piloto de desarrollo de proyectos referentes a las soluciones basadas en la naturaleza 
</t>
  </si>
  <si>
    <t>Avances documentales</t>
  </si>
  <si>
    <t xml:space="preserve">Se cuenta con un documento borrador el cual está siendo validado por el equipo técnico </t>
  </si>
  <si>
    <t xml:space="preserve">Documento Informe técnico final Beneficios integrales. diagnóstico y estúdio de prefactibilidad. Stakeholders identificados PAREX. Se retomo la conversación con la gente de la empresa Urrá y se está desarrollando el plan de trabajo. Pendiente definir hito o actividades del plan para su respectivo seguimiento. </t>
  </si>
  <si>
    <t>Entrega preliminar del plan de implementacion del  proyecto de Paz de Ariporo. borrador inicial sobre las opciones de proyecto que puedan generarse en la empresa Urrá.</t>
  </si>
  <si>
    <t>Se cuenta con Documento Informe tecnico final Beneficios integrales y Documento propuesta sobre adaptacion cambio climatico en providencia. Se cuenta con una version mas avanzada del plan de implementacion y se esta validando algunas modificacion teniendo en cuenta protocolo de bioseguridad por temas de COVID -19.</t>
  </si>
  <si>
    <t>PA-OAAS-014-01</t>
  </si>
  <si>
    <t xml:space="preserve">Implementar los lineamientos sociales para el desarrollo de los proyectos PPII   </t>
  </si>
  <si>
    <t xml:space="preserve">Conformación de la mesa territorial de diálogo y seguimiento en un PPII con plan de trabajo aprobado </t>
  </si>
  <si>
    <t>No se tenían programadas y no se ejecutaron acciones de este componente en enero</t>
  </si>
  <si>
    <t>No se tenían programadas y no se ejecutaron acciones de este componente en febrero</t>
  </si>
  <si>
    <t>Se definieron los terminos de referencia. Se abre la convocatoria publica con FUPAD (Operador ANH) primer corte 5 de Abril. Aprobacion del cronograma por parte del subcomite social, se adopta la metodologia de conformacion de las mesas.</t>
  </si>
  <si>
    <t xml:space="preserve">27 de Abril se firma contrato de Luis Carlos Pacheco Coordinador Territorial de Magdalena Medio (ANH-FUPAD)
Selección y entrevista contrato enlace comunitario (Angela Martinez ) a 1 de Mayo.
Pendiente contratación de 2 personas.Aprobacion del cronograma por parte del subcomite social,se adopto metodologia de conformacion de las mesas.
Asignacion de cronograma con los enlaces comunitarios para la ejecucion del mismo. </t>
  </si>
  <si>
    <t xml:space="preserve">Aprobacion del cronograma por parte del subcomite social,se adopto metodologia de conformacion de las mesas.
Socializacion de Asignacion de cronograma con los enlaces comunitarios para la ejecucion del mismo. </t>
  </si>
  <si>
    <t>Se realiza contratacion del 100% de los enlaces territoriales.
-coordinador territorial Magdalena medio
-Enlace territorial de relacionamiento
-Enlace territorial de seguimiento
-Apoyo Comunitario 
Se definio plan de trabajo territorial PPII con los enlaces para la conformacion de las mesas.</t>
  </si>
  <si>
    <t>PA-OAAS-014-02</t>
  </si>
  <si>
    <t xml:space="preserve">Porcentaje de ejecución de los dos dIálogos  territoriales según la face previa o concomitante de los PPII </t>
  </si>
  <si>
    <t>Balance de las sesion inagural del primer diologo territorial de puerto wilches en el subcomite social y de transparencia de los PPII.
Adopcion de cronograma para continuar con la ejecución del primer dialogo territorial en el subcomite.
Articulación con el subcomité de aguas superficiales ecosistemas y biodiversidad  de los PPII para la ejecución de los encuentros ambientales en el marco del primer dialogo territorial de los PPII.
Articulacion con Subcomité de sismicidad, hidrogeología y normatividad técnica</t>
  </si>
  <si>
    <t>Articulación con el subcomité de aguas superficiales ecosistemas y biodiversidad, y subcomité sismicidad hidrogeologia y normatividad tecnica de los PPII para la ejecución de los encuentros ambientales en el marco del primer diálogo territorial de los PPII.</t>
  </si>
  <si>
    <t>Se realiza salida con el instituto HUMBOLDT para la instalacion de puntos de monitoreo en el marco de la linea base ambiental. (Ecosistemas y Biovidersidad)</t>
  </si>
  <si>
    <t>Se completo con Minambiente y la ANLA para la ejecucion de los dialogos referidos a los terminos de referencia ambiental (21-26 de Junio).
*Se hizo articulacion  con el instituto humbolt en el mes de mayo y junio.( Reporte estrategia territorial frente a las acciones realizadas)</t>
  </si>
  <si>
    <t>PA-OAAS-015-01</t>
  </si>
  <si>
    <t xml:space="preserve">Generar condiciones que permitan incidir en la inclusión de la variable  minero energética en el ordenamiento ambiental en los territorios priorizados   </t>
  </si>
  <si>
    <t>Instancias de coordinación Nación - Territorio  que permitan el análisis y diálogo alrededor de la inclusión de la variable minero energética en los esquemas de ordenamiento del territorio atendidas</t>
  </si>
  <si>
    <t xml:space="preserve">Avance en el analisis minero ambiental de las areas priorizadas en el departamento de Corboda. Se cuenta con el diagnostico de los esquemas de los territorios de Cordoba y se cuenta con un avance frente a Antioquia. </t>
  </si>
  <si>
    <t>Se cuenta con diagnósticos de los esquemas  territoriales de  acuerdo al análisis minero ambiental de las areas priorizadas en el departamento de Corboda y antioquia. En construcción Cesar y Guajira</t>
  </si>
  <si>
    <t xml:space="preserve">Se cuenta con los avances de los analisis de los territorios priorizados. Se formulo estrategia de relacionamiento para soto norte y se valido con la vice. Se prevee llegar a territorio en la ultima semana de Mayo. Se celebro mesa de trabajo con anorí. Se cuenta con reporte y acta de reunion. </t>
  </si>
  <si>
    <t xml:space="preserve">se culmina el analisis de los territorios priorizados . Se han  realizado mesas de trabajo con municipios de sotonorte, california y Surata. Se realizaron visitas de campo y mesas tecnicas en Surata. Pendiente cerrar mesa de trabajo con California. Se celebro mesa de trabajo con anorí. Se cuenta con reporte y acta de reunion. </t>
  </si>
  <si>
    <t>PA-OAAS-015-02</t>
  </si>
  <si>
    <t>Información sectorial generada y analizada para la toma de decisiones en relación con la inclusión de la variable minero eneretica en los torritorios priorizados</t>
  </si>
  <si>
    <t>Se realizó priorización con el equipo de la estrategia de relacionamiento territorial, donde se define los departamentos de Cordoba y Antioquia para adelantar el diagnostico de esquemas de ordenamiento territorial , se revisa el plan de ordenamiento departamental de Antioquia y revisión de instrumentos de ordenamiento territorial y ambiental en Cordoba.</t>
  </si>
  <si>
    <t>Se brinda apoyo para el análisis del municipio de Cantagallo en reunión con MinVivienda. Avance en el análisis minero ambiental de las areas priorizadas en el departamento de Corboda y antioquia. En construcción Cesar y Guajira.</t>
  </si>
  <si>
    <t>Se brinda apoyo para el analisis del municipio de Cantagallo en reunion con MinVivienda. Avance en el analisis minero ambiental de las areas priorizadas en el departamento de Corboda y antioquia. En construccion Cesar y Guajira. Se realiza reunion con Anorí. Se hace reunion con la ANM para conocer la indicendia del sector en Barrancabermeja y se revisan aspectos de incidencia de ordenamiento territorial con recursos de fedesmeralda.</t>
  </si>
  <si>
    <t xml:space="preserve">Seguimiento formulacion POT Barrancabermeja y se coordinan instancias sectoriales para atender las implicaciones de dicho instrumento.
Se realiza acompañamiento y recomendaciones a la DME respecto a las implicaciones de la adopcion del POF de CorAntioquia. </t>
  </si>
  <si>
    <t>PA-OAAS-05-04</t>
  </si>
  <si>
    <t>Instrumentos de coordinación con autoridades municipales o distritales (OAAS)</t>
  </si>
  <si>
    <t>Durante el mes de abril de 2021, las Agencias realizaron las siguientes reuniones: Agencia Nacional de Minería: surtió doce (12) espacios de coordinación y concurrencia. • Se desarrollaron de acuerdo a las lineas de acción del Programa de Relacionamiento con el Territorio con los municipios de Repelón (Atlántico), Pácora, Aránzazu y San José (Caldas), Paujil (Caquetá), La Plata (Huila), Distracción, Hatonuevo y Riohacha (La Guajira), El Peñón y Barichara (Santander) y Natagaima (Tolima). Agencia Nacional de Hidrocarburos: realizó tres (3) reuniones de coordinación y concurrencia: • Reunión de coordinación y concurrencia Alcaldía de Saldaña-Tolima. Presentación empresa Hocol Área de E&amp;P COR 9. Reunión de coordinación y concurrencia Alcaldía de Cunday - Tolima. Presentación empresa Hocol Área de E&amp;P COR 9 y Reunión de coordinación y concurrencia Alcaldía de Carmen de Apicalá -Tolima. Presentación empresa Hocol Área de E&amp;P COR 9</t>
  </si>
  <si>
    <t>Durante el mes de junio 2021 las Agencias realizaron 42 reuniones, distribuídas de la siguiente manera:Agencia Nacional de Hidrocarburos:  Durante el mes de junio de 2021 se realizaron 30 reuniones de coordinación y concurrencia por parte de la Agencia Nacional de Hidrocarburos - ANH:1.Reunión coordinación y concurrencia alcaldía de Arboletes, Antioquia2.Reunión coordinación y concurrencia alcaldía de Caucasia, Antioquia3.Reunión coordinación y concurrencia alcaldía de San Juan de Urabá, Antioquia4.Reunión coordinación y concurrencia alcaldía de Córdoba, Bolívar5.Reunión coordinación y concurrencia alcaldía de San Martín de Loba, Bolívar6.Reunión coordinación y concurrencia alcaldía de San Pablo, Bolívar7.Reunión coordinación y concurrencia alcaldía de Tauramena, Casanare8.Reunión coordinación y concurrencia alcaldía de Pailitas, Cesar9.Reunión coordinación y concurrencia alcaldía de Tamalameque, Cesar10.Reunión coordinación y concurrencia alcaldía de Medio San Juan (Andagoya), Chocó11.Reunión coordinación y concurrencia alcaldía de San José Del Palmar, Chocó12.Reunión coordinación y concurrencia alcaldía de La Apartada, Córdoba13.Reunión coordinación y concurrencia alcaldía de Montería, Córdoba14.Reunión coordinación y concurrencia alcaldía de Pueblo Nuevo, Córdoba15.Reunión coordinación y concurrencia alcaldía de San Pelayo, Córdoba16.Reunión coordinación y concurrencia alcaldía de Valencia, Córdoba17.Reunión coordinación y concurrencia alcaldía de Paratebueno, Cundinamarca18.Reunión coordinación y concurrencia alcaldía de Tello, Huila19.Reunión coordinación y concurrencia alcaldía de Santa Bárbara de Pinto, Magdalena20.Reunión coordinación y concurrencia alcaldía de Cumaral, Meta21.Reunión coordinación y concurrencia alcaldía de Puerto Gaitán, Meta22.Reunión coordinación y concurrencia alcaldía de Coello, Tolima23.Reunión coordinación y concurrencia alcaldía de Rovira, Tolima24.Reunión coordinación y concurrencia gobernación de Casanare25.Reunión coordinación y concurrencia ICANH26.Reunión coordinación y concurrencia Corporación Autónoma Regional CVS27.Reunión coordinación y concurrencia Corporación Autónoma Regional CORPOURABÁ28.Reunión coordinación y concurrencia Corporación Autónoma Regional CORPOMOJANA29.Reunión coordinación y concurrencia Corporación Autónoma Regional CVC30.Reunión coordinación y concurrencia Corporación Autónoma Regional CORPOGUAVIOAgencia Nacional de Minería: Se surtieron doce (12) espacios de coordinación y concurrencia con los municipios en Arauca, Boyacá, Caldas, Córdoba, Meta, Santander y Sucre. Se desarrollaron de acuerdo a las lineas de acción del Programa de Relacionamiento con el Territorio con los municipios de Puerto Concordia (Meta), Norcasia, Samaná, Salamina, La Merced, Riosucio y Rio Sucio (Caldas), Ramiriquí y Tibana (Boyacá), Puerto Libertador (Córdoba), Arauquita (Arauca),  Sincelejo (Sucre) y Los Santos (Santander).Durante el primer semestre del 2021, en total se han realizado 156 espacios de coordinación y concurrencia.</t>
  </si>
  <si>
    <t>PA-OARE-01-01</t>
  </si>
  <si>
    <t xml:space="preserve">Incremento de capacidad de generación eléctrica con fuentes no convencionales renovables   </t>
  </si>
  <si>
    <t>Capacidad de generación de energía eléctrica a partir de Fuentes No Convencionales de Energía Renovable comprometida</t>
  </si>
  <si>
    <t>Drive OARE</t>
  </si>
  <si>
    <t>La energía comprometida proveniente de FNCER se cumplió con la subasta de contratos de largo plazo y la subasta de Cargo de  Confiabilidad (CxC) no se presenta modificación (2083 MW del 2020)</t>
  </si>
  <si>
    <t>Las consideraciones son iguales a las del mes anterior</t>
  </si>
  <si>
    <t>Durante el mes de abril, se estuvo trabajando en la tercera subasta de contratos de largo plazo dirigida a proyectos FNCER, en este proceso durante este mes se publicaron comentarios del proyecto de resolución que convoca a la subasta y se pretende publicar en firme la resolución que modifica las reglas.</t>
  </si>
  <si>
    <t>Se expidió la resolución 40141 de mayo 7 donde se establecen las reglas para la participación en la subasta</t>
  </si>
  <si>
    <t>Se expidió la Resolución 40179 de 2021 por la cual se convoca a la subasta de contratación de largo plazo, y se designo por medio de un convenio interadministrativo al Administrador de Sistema de Intercambios Comerciales -ASIC como el subastador.</t>
  </si>
  <si>
    <t>PA-OARE-01-02</t>
  </si>
  <si>
    <t>Subasta de contratos de largo plazo (renovables)</t>
  </si>
  <si>
    <t>subasta</t>
  </si>
  <si>
    <t>Avance</t>
  </si>
  <si>
    <t>La actividad está programada para meses siguientes</t>
  </si>
  <si>
    <t>Actualmente desde este ministerio nos encontramos trabajando en la tercera subasta de contratos de largo plazo dirigida a proyectos FNCER, en este proceso durante este mes se publicó ha comentarios el proyecto de resolución que convoca a la subasta y se pretende publicar en firme la resolución que modifica las reglas</t>
  </si>
  <si>
    <t>Se expidió la resolución 40141 de mayo 7 donde se establecen las reglas para la participación de la próxima subasta</t>
  </si>
  <si>
    <t>PA-OARE-02-01</t>
  </si>
  <si>
    <t xml:space="preserve">Avance en las políticas de movilidad sostenible y eficiencia energética diseñadas   </t>
  </si>
  <si>
    <t>Número de vehículos eléctricos o híbridos en el país</t>
  </si>
  <si>
    <t>vehículo</t>
  </si>
  <si>
    <t>registro</t>
  </si>
  <si>
    <t>carpeta Drive: OARE</t>
  </si>
  <si>
    <t>Se avanza en reglamentación relacionada con infraestructura de carga pública de vehículos eléctricos (3634 del 2020)</t>
  </si>
  <si>
    <t xml:space="preserve">Corte información de vehículos eléctricos marzo 2021. Evaluación de incentivos como la contribución para estaciones de carga. Revisión con juridica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</si>
  <si>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 xml:space="preserve">Se responde a comentarios SIC en los considerandos del proyecto de Resolución “Por la cual se establecen las condiciones mínimas de estandarización y de mercado para la implementación de infraestructura de carga para vehículos eléctricos en Colombia”,  en esta resolución, se define el prestador de servicio de carga pública para vehículos eléctricos, al igual que la actividad de carga privada, se establece un estándar mínimo de conector para estaciones de carga pública para vehículos eléctricos, la información mínima que deberá estar disponible al público en las estaciones de carga,  y condiciones de mercado para seguir impulsando el despliegue de esta tecnología. </t>
  </si>
  <si>
    <t>PA-OARE-02-02</t>
  </si>
  <si>
    <t>Proyectos piloto implementados de promoción de eficiencia energética</t>
  </si>
  <si>
    <t>proyecto piloto</t>
  </si>
  <si>
    <t>informe</t>
  </si>
  <si>
    <t>Pendiente la inauguración del proyecto iniciativa de ciudades energéticas</t>
  </si>
  <si>
    <t>Se sigue avanzando en la implementación de proyectos de ciudades energéticas</t>
  </si>
  <si>
    <t>Se sigue avanzando en la implementación de proyectos de ciudades energéticas y evaluando la implementación del programa nacional de ciudades energéticas.</t>
  </si>
  <si>
    <t>Respecto a la implementación de las victorias tempranas: Pasto, se hizo entrega de 352 bicicletas mecánicas y eléctricas a 7 entidades disponibles en 8 estaciones. Montería, se entrega las acciones implementadas en eficiencia energética en el centro educativo. Fusagasugá, instalación de paneles fotovoltaico en 10 entidades públicas con RETIE, instaladas 55 soluciones FV en sector residencial, a la espera de implementación de medidores inteligentes por parte de CODENSA.</t>
  </si>
  <si>
    <t>PA-OARE-02-03</t>
  </si>
  <si>
    <t>Elaboración de documento de política con lineamientos de movilidad sostenible</t>
  </si>
  <si>
    <t>avance</t>
  </si>
  <si>
    <t>Se cuenta con un capítulo de transporte sostenible acordado por la MITS para estar en el CONPES de transición energética, falta validar si solo esta será la herramienta o si se trabajara igualmente en un documento de estrategia</t>
  </si>
  <si>
    <t>Se han realizado 5 talleres bajo el CONPES de Transición energética del capítulo de movilidad sostenible que incluye los energéticos de bajas y cero emisiones</t>
  </si>
  <si>
    <t xml:space="preserve">Se avanza en documento CONPES de Transición Energética, que incluye un capítulo asociado a la movilidad sostenible. En este momento, se están construyendo las acciones que permitirán fomentar la transición hacia las tecnologías de cero y bajas emisiones y se espera tener una primera versión de este documento a finales de 2021.  </t>
  </si>
  <si>
    <t>PA-OARE-02-04</t>
  </si>
  <si>
    <t>Evaluación de estudio para determinar lineamientos técnicos en eficiencia energética</t>
  </si>
  <si>
    <t>Se entrega documento de estudio el cual evalúa las posibles medidas de eficiencia energética que pueden ser obligatorias para el país, que incluye todos los sectores consumidores</t>
  </si>
  <si>
    <t>Se revisa las medidas de eficiencia energética que pueden ser obligatorias en los distintos sectores (industrial, transporte, residencia, terciario) de acuerdo con el estudio de consultoría realizado en 2020. Se proponen líneas de acción relacionadas con estas medidas obligatorias para ser parte del CONPES de Transición energética.</t>
  </si>
  <si>
    <t>0,6</t>
  </si>
  <si>
    <t>Se avanza en documento CONPES de Transición Energética, que incluye un capítulo asociado a eficiencia energética.</t>
  </si>
  <si>
    <t>PA-OARE-02-05</t>
  </si>
  <si>
    <t>Espacios de concertación realizados para el diseño y estructuración de incentivos que promuevan la movilidad eléctrica fluvial en la Amazonía</t>
  </si>
  <si>
    <t>reunión</t>
  </si>
  <si>
    <t>actas</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</si>
  <si>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estuvo consolidando el plan de trabajo para ser presentado al secretario de la Mesa Regional Amazónica y al coordinador de la OPIAC y se estuvo coordinando con la Oficina de Asuntos Ambientales y Sociales el espacio para la validación del plan de trabajo. En este momento nos encontramos a la espera de confirmación por parte de la OAAS para sostener este espacio de co-construcción del plan de acción con la Mesa Regional Amazónica. </t>
  </si>
  <si>
    <t xml:space="preserve">De acuerdo a los compromisos sostenidos con la Mesa Regional Amazónica, para dar cumplimiento al indicador de sostener un (1) espacio de concertación con delegados con los 6 departamentos de la Amazonía para el diseño y/o estructuración de incentivos que promuevan la movilidad eléctrica fluvial en territorios de la Amazonía, se consolidó el plan de trabajo para ser presentado al secretario de la Mesa Regional Amazónica y al coordinador de la OPIAC. En conjunto con la Oficina de Asuntos Ambientales y Sociales se está solicitando el espacio para la validación del plan de trabajo. Sin embargo, por temas de manifestaciones no se logró concertar el espacio. Se está a la espera que la MRA retome actividades para seguir avanzando en la socialización y co-construcción del plan de trabajo. </t>
  </si>
  <si>
    <t>PA-OARE-02-06</t>
  </si>
  <si>
    <t xml:space="preserve">Usuarios con equipos de medición inteligente instalados </t>
  </si>
  <si>
    <t>usuario</t>
  </si>
  <si>
    <t>reporte</t>
  </si>
  <si>
    <t>Se envió solicitud de información de despliegue de medidores avanzados a los OR, con corte a 31 de diciembre 2020, se cuenta con 18 empresas reportadas, se espera que el mes de febrero se cuente con reporte de corte a 2021</t>
  </si>
  <si>
    <t>Durante el mes de abril de 2021, se recibió el reporte de medidores inteligentes instalados con corte a 31 de diciembre de 2020.</t>
  </si>
  <si>
    <t>Durante este mes se aprobó la Ley de Transición Energética en el Congreso, la cual establece disposiciones sobre el pago del despliegue de AMI. Se están analizando las implicaciones que esta ley tiene sobre la propuesta que se venía trabajando con la CREG, ya que es posible que deba ajustarse o modificarse.</t>
  </si>
  <si>
    <t>PA-OARE-03-01</t>
  </si>
  <si>
    <t xml:space="preserve">Incremento de capacidad de generación eléctrica instalada   </t>
  </si>
  <si>
    <t>Capacidad instalada de generación de energía eléctrica</t>
  </si>
  <si>
    <t>PA-OARE-03-02</t>
  </si>
  <si>
    <t>Índice de confiabilidad de suministro de demanda</t>
  </si>
  <si>
    <t>Se actualizó la demanda del mes de enero (5.568 kWh-mes) evidenciándose un reducción con respecto a la proyección de UPME (6.198 kWh-mes)</t>
  </si>
  <si>
    <t>Indicador desactivado</t>
  </si>
  <si>
    <t>PA-OARE-03-03</t>
  </si>
  <si>
    <t>Desarrollo del observatorio de tarifas</t>
  </si>
  <si>
    <t>Se desarrolló una herramienta para estimar el aumento en la tarifa por las inversiones en expansión de cobertura. Se están realizando ajustes a la herramienta de cálculo del componente C</t>
  </si>
  <si>
    <t>Se avanzó en la obtención de la información del SUI directamente y se está trabajando junto con el área de TI en la visualización y tratamiento de datos</t>
  </si>
  <si>
    <t>PA-OARE-04-01</t>
  </si>
  <si>
    <t xml:space="preserve">Implementación de hoja de ruta para la transformación energética   </t>
  </si>
  <si>
    <t>Proyectos normativos elaborados relacionados con recursos energéticos y mercados de energía eléctrica</t>
  </si>
  <si>
    <t>proyecto normativo</t>
  </si>
  <si>
    <t>En sesión de Precreg se discutió la reforma del MEM que contempla más aprticipacion de la demanda y nuevos agentes.
Los lineamientos de política de DERs fueron revisados por la OAJ y el Vice, y se estan realizando los ajustes pertinentes</t>
  </si>
  <si>
    <t>PA-OARE-04-02</t>
  </si>
  <si>
    <t>Proyectos normativos elaborados relacionados con gas natural</t>
  </si>
  <si>
    <t>PA-OARE-04-03</t>
  </si>
  <si>
    <t>Proyecto normativos elaborado relacionado con medición inteligente</t>
  </si>
  <si>
    <t>Tras el análisis financiero y económico de la propuesta, el tema fue discutido en sesión CREG. La resolución fue revisada por la SIC y actualmente la CREG está haciendo las modificaciones pertinentes para poder emitirla en firme</t>
  </si>
  <si>
    <t>PA-OARE-04-04</t>
  </si>
  <si>
    <t>Proyecto normativo elaborado relacionado con integraciones horizontales/verticales</t>
  </si>
  <si>
    <t>Como parte del análisis de comentarios de la hoja de ruta de la misión de transformación, se está analizando la viabilidad de hacer esto en el corto plazo.</t>
  </si>
  <si>
    <t>PA-OARE-05-01</t>
  </si>
  <si>
    <t xml:space="preserve">Avance del desarrollo y actualización normativa para el uso seguro de materiales radiactivos y nucleares   </t>
  </si>
  <si>
    <t>Proyectos de normatividad presentados para concepto de OAJ. (GSR3, Import, Dosim)</t>
  </si>
  <si>
    <t>Físico / Electrónico</t>
  </si>
  <si>
    <t>Carpeta Drive: OARE-GENCAN</t>
  </si>
  <si>
    <t>No se registró actividad</t>
  </si>
  <si>
    <t>El 3 de marzo, se realizó reunión con el SGC, el cual presentó el 9 de marzo observaciones extemporáneas a proyecto de resolución sobre Seguridad Física.</t>
  </si>
  <si>
    <t>En fecha 30 de abril, se remitió al SGC el Análisis de Impacto Normativo y el texto del proyecto de resolución sobre seguridad física.</t>
  </si>
  <si>
    <t>PA-OARE-05-02</t>
  </si>
  <si>
    <t>Proyecto de norma presentada a otras autoridades. (Autorizaciones individuales)</t>
  </si>
  <si>
    <t>El 26 de marzo, en reunión virtual con MinCIT, se presentó el proyecto de norma para importación y exportación de MR, para la revisión del concepto de reglamento técnico. MinCIT expresó que no se trata de un reglamento técnico.</t>
  </si>
  <si>
    <t>No hubo actividades relacionadas con el proyecto de de norma para importación y exportación de materiales radiactivos. En abril 28, se adelantó reunión virtual con experto de la región, abordando el tema de la necesidad de normatividad para autorizaciones individuales, en particular para las prácticas médicas.</t>
  </si>
  <si>
    <t>PA-OARE-05-03</t>
  </si>
  <si>
    <t>Normatividad expedida de acuerdo con procedimiento del MME</t>
  </si>
  <si>
    <t>Normas</t>
  </si>
  <si>
    <t>En aras de aclarar lo observado por el SGC, junto con OAJ, en marzo 31 se realizó reunión con la División de participación, transparencia y servicio al ciudadano del DAFP.</t>
  </si>
  <si>
    <t>El 19 de abril, se realizó reunión con el SGC para discutir los aspectos asociados con sus observaciones al proyecto de seguridad fisica. Se contó con la participación del DAFP aclarando que la Entidad ejecutora de la función, debe contar y presentar ante el DAFP un Manifiesto de Impacto Regulatorio.</t>
  </si>
  <si>
    <t>Se adelantaron cuatro (4) reuniones virtuales revisando los contenidos del proyecto de norma para autorización de servicios de dosimetrá personal.</t>
  </si>
  <si>
    <t>Se realizaron tres reuniones virtuales, en revisión del proyecto de norma</t>
  </si>
  <si>
    <t>PA-OARE-06-01</t>
  </si>
  <si>
    <t xml:space="preserve">Grado de avance de las actividades con organismos internacionales en materia nuclear.   </t>
  </si>
  <si>
    <t>Solicitudes tramitadas realizadas por las contrapartes de proyectos ante OIEA</t>
  </si>
  <si>
    <t>Solicitudes tramitadas</t>
  </si>
  <si>
    <t>Electrónico</t>
  </si>
  <si>
    <t>https://intouchplus.iaea.org/</t>
  </si>
  <si>
    <t>Se han atendido todas las solicitudes de las contrapartes de proyectos de cooperación con el OIEA</t>
  </si>
  <si>
    <t>Se han atendido todas las solicitudes de las contrapartes de proyectos de cooperación con el OIEA.</t>
  </si>
  <si>
    <t>8,30%</t>
  </si>
  <si>
    <t>PA-OARE-06-02</t>
  </si>
  <si>
    <t>Reportes de las salvaguardias de los materiales nucleares en Colombia remitidos al OIEA</t>
  </si>
  <si>
    <t>Reportes</t>
  </si>
  <si>
    <t>Carpeta GENCAN</t>
  </si>
  <si>
    <t xml:space="preserve">Ante la no realización de inspección por los inspectores de salvaguardias del OIEA, en ene-10 y ene-13 se reportaron los inventarios de los materiales objeto de salvaguardias, lo cual incluyó las fuentes recibidas durante 2020 en el marco del proyecto de consolidación. </t>
  </si>
  <si>
    <t xml:space="preserve">El 4 de marzo, se remitió al OIEA la declaración de materiales objeto de salvaguardias, correspondientes al cuarto trimestre de 2020. </t>
  </si>
  <si>
    <t>Si bien se realizó el reporte en fecha 31 de mayo, la base de datos del OIEA registró que la información se suministró el 1 de junio, por lo cual tal actividad se reportará en el mes de junio.</t>
  </si>
  <si>
    <t>En fecha 01 de junio, quedó registrado ante el OIEA el reporte correspondiente al segundo trimestre de 2021, que incluye la declaración del año 2020, la declaración del 1er trimestre de 2021</t>
  </si>
  <si>
    <t>PA-OARE-06-03</t>
  </si>
  <si>
    <t>Informes elaborados de cumplimiento de acuerdos y tratados internacionales</t>
  </si>
  <si>
    <t>Se remitió a OPGI, en fecha feb-23 la matriz sobre cumplimiento de tratados internacionales correspondiente al segundo semestre de 2020.</t>
  </si>
  <si>
    <t>El reporte de cumplimiento de tratados internacionales, se realiza nuevamente en el tercer trimestre del año. Se dirigió comunicación a OPGI expresando interés en continuar el trámite del proyecto de Ley, sobre la Convención Conjunta del Combustible Gastado. Se tramitó ante OIEA la adhesión de Colombia a seis (6) proyectos ARCAL.</t>
  </si>
  <si>
    <t>El reporte de cumplimiento de tratados y acuerdos internacionales, tiene lugar en el primer y tercer trimestre del año. Por lo tanto, este indicador no registra actividad.</t>
  </si>
  <si>
    <t>No se registra actividad, ya que el reporte se realiza en el tercer trimestre.</t>
  </si>
  <si>
    <t>PA-OARE-07-01</t>
  </si>
  <si>
    <t xml:space="preserve">Grado de avance de la gestión reguladora en asuntos nucleares del MME   </t>
  </si>
  <si>
    <t>Trámites finalizados de Autorizaciones para Instalaciones nucleares y radiactivas operadas por el SGC</t>
  </si>
  <si>
    <t>Autorizaciones</t>
  </si>
  <si>
    <t>En fecha ene-26, se adelantó reunión con el Laboratorio de Radioquímica y Preparación de Muestras – RQP, para aclarar aspectos de notificación de uso de materiales radiactivos.
El SGC solicitó autorización para trasvase de fuente de Co-60 categoría 1, se solicitaron aclaraciones adicionales.</t>
  </si>
  <si>
    <t>En fecha feb-25, se comunica al SGC aceptación de notificación de actividades de instalación categoría 5 – Laboratorio RQP.
La autoridad reguladora canadiense solicitó consentimiento de la autoridad reguladora colombiana para proveer al SGC con fuente de Co-60 categoría 1.</t>
  </si>
  <si>
    <t>En fecha 24 de marzo, se expidió la Autorización al Laboratorio Secundario de Calibración Dosimétrica del SGC, LSCD-002.</t>
  </si>
  <si>
    <t>En fecha 20 de abril se expidió autorización a Importrans Radiactivos Ltda, para el transporte de fuente de Co-60 desde la terminal de carga del aeropuerto El Dorado a la ICGDR del SGC. El 23 de abril se dio visto bueno en la VUCE para la importación de la fuente antes referida.</t>
  </si>
  <si>
    <t>En fecha 13 de mayo, se remitió comunicación al Reactor Nuclear de Investigación, con nueve (09) carnés de capacitados en protección radiológica, en el periodo abril de 2020 a febrero de 2021. En mayo 26, se adelantó mesa de trabajo con el LSCD para la actividad de  instalación de fuente de Co-60 en irradiador C-100.</t>
  </si>
  <si>
    <t>En fecha 03-jun, al LSCD se le dio visto bueno para el procedimiento de instalación y puesta en funcionamiento del irradiador G-100</t>
  </si>
  <si>
    <t>PA-OARE-07-02</t>
  </si>
  <si>
    <t>Inspecciones realizadas a las instalaciones nucleares y radiactivas operadas por el SGC</t>
  </si>
  <si>
    <t>Inspecciones</t>
  </si>
  <si>
    <r>
      <t>En fecha 03 de mayo, vía</t>
    </r>
    <r>
      <rPr>
        <sz val="9"/>
        <rFont val="Calibri"/>
        <family val="2"/>
      </rPr>
      <t xml:space="preserve"> on-line se actualizó y verificó la información correspondiente a los materiales objeto de  Salvaguardias que se encuentran en la ICGDR. Este inventario incluye las fuentes ingresadas a la instalación a partir del proyecto de consolidación.</t>
    </r>
  </si>
  <si>
    <t>PA-OARE-07-03</t>
  </si>
  <si>
    <t>Trámites finalizados de Autorizaciones  e inspecciones para Empresas de servicios de protección radiológica</t>
  </si>
  <si>
    <t>Actividades
reguladoras</t>
  </si>
  <si>
    <t>A Sievert SAS, se remitieron dosímetros de cuerpo entero y extremidades con tecnologías TLD y OSL, como parte del ejercicio de intercomparación con el LSCD del SGC.
Se recibió solicitud de renovación de autorización de la empresa prestadora de servicios de dosimetría personal de Care Dosimetry.</t>
  </si>
  <si>
    <t>El 5 de marzo, se autorizó a Importrans el transporte de la fuente de Co-60 ubicada en Santa Marta con destino a la ICGDR del SGC.
A Radproct SAS se le autorizó en VUCE la importación de fuente de Co-60 para calibración de instrumentos de protección radiológica.</t>
  </si>
  <si>
    <t xml:space="preserve">En fecha 14 de abril, A Sievert SAS, se le expidieron las autorizaciones SV-003 y SV-004, para la prestación de servicios de dosimetría personal mediante tecnologías TLD y OSL </t>
  </si>
  <si>
    <t>En fecha 03 de mayo, se realizó visita a Benoma Scientific SAS, encontrando que la empresa no opera. A posteriori se recibió correo electrónico informando el cierre del servicio se dio por deceso del Representante Legal. Se inspeccionó a SELIG de Colombia como parte del proceso de renovación de autorización. Se dio respuesta a Nuclear Service sobre calibración de detectores de radiación.</t>
  </si>
  <si>
    <t>Como parte del trámite para renovación de autorizaciones de empresas prestadoras de servicios de dosimetría, con el fin de realizar ejercicio de intercomparación, se recibieron de SELIG de Colombia y de CARE DOSIMETRY, los dosímetros para irradiación controlada.</t>
  </si>
  <si>
    <t>PA-OARE-07-04</t>
  </si>
  <si>
    <t>Actividades de seguimiento y/o direccionamiento realizadas a la delegación de las funciones de autorización, vigilancia y control</t>
  </si>
  <si>
    <t>Actividades</t>
  </si>
  <si>
    <t>En fecha ene-29, se solicitó al SGC información de segunda fuente de Cs-137 hallada en chatarra de la firma DIACO GERDAU</t>
  </si>
  <si>
    <t>El 17 de marzo, se realizó reunión con el SGC para acordar los parámetros objeto de revisión sobre la delegación de funciones. El 26 de marzo se remitió comunicación al SGC, listando las solicitudes pendientes de solución para 2020 y lo corrido de 2021. También el 26 de marzo se adelantó reunión para acceso del MME al sistema de información Xué del SGC. El 31 de marzo, se envió documento que establece los requerimientos de consulta automática para todos los repositorios de datos asociados con la delegación de funciones.</t>
  </si>
  <si>
    <t>En abril 7 se solicitó al SGC el listado de instalaciones de gammagrafía industrial que poseen 4 o más proyectores y el listado de instalaciones de diagrafía de pozos con fuentes de Am-241 cuya actividad sea mayor a 592GBq (16Ci). El 19 de abril se realizó reunión de seguimiento a los compromisos establecidos en las reuniones del mes de marzo.</t>
  </si>
  <si>
    <t>En fecha 18 de mayo, el SGC remitió informe de funciones delegadas correspondiente al bimestre feb-mar de 2021. En fecha 18 de mayo, el SGC realizó presentación sobre el sistema de información Xué que utiliza el Grupo de Licenciamiento y Control para registrar lo concerniente a autorizaciones e inspecciones de las instalaciones usuarias de MR. En fecha 26 de mayo se realizó reunión para acordar los requisitos para la migración de datos del Xué al RAIS.</t>
  </si>
  <si>
    <t>En fecha 17-jun se realizó segunda reunión para establecer los protocolos de migración del Xué (SGC) al RAIS (MME). El 09-jun, se realizó reunión MinCIT/SGC/MME para establecer los lineamientos de interoperabilidad de las tres entidades en la VUCE.</t>
  </si>
  <si>
    <t>PA-OARE-08-01</t>
  </si>
  <si>
    <t xml:space="preserve">Participación de mujeres colombianas en eventos del sector nuclear.   </t>
  </si>
  <si>
    <t>Cantidad de eventos con participación de mujeres colombianas</t>
  </si>
  <si>
    <t>Eventos</t>
  </si>
  <si>
    <t>Virtual</t>
  </si>
  <si>
    <t>Se invitó a personal femenino de Cancillería, INC y SGC a participar el 2 de marzo en el evento de IE University: "Why is gender equality a smart business?"</t>
  </si>
  <si>
    <t>En el evento “Why is gender equality a smart business”, que tuvo lugar vía web el 2 de marzo de 2021, hubo participación de 4 mujeres de Colombia (SGC, Cancillería y 2 de OARE). participó personal femenino del Instituto Nacional de Cancerología, del Servicio Geológico Colombiano y de la Cancillería. Se abordaron temas de igualdad de género, empoderamiento y liderazgo femenino en el crecimiento económico, entre otros; y se planteó una discusión, sobre las diferentes acciones que pueden ayudar a las empresas a lograr la igualdad e inclusión de género al tiempo que impulsan su productividad.</t>
  </si>
  <si>
    <t>Se atiende invitación para participación femenina en panel sobre generación nucleo-eléctrica, en el mes de junio.</t>
  </si>
  <si>
    <t>En el marco de la serie regional para atención a eventos con afectación a la seguridad física, la gerencia de Sequimed, empresa dedicada al transporte de materiales radiactivos, realizó corta presentación sobre propuesta de creación de una red regional para atención de tales eventos.</t>
  </si>
  <si>
    <t>En fecha 02-jun, en el marco del ciclo de conferencias sobre seguridad física en el transporte de materiales radiactivos, con participación del DOE-USA, WIN Global, WIN ARCAL, el OIEA y GENCAN, se realizó el evento de equidad de género en las actividades de transporte de materiales radiactivos y nucleares. El objetivo de la sesión, fue mostrar el avance en la región y el objetivo a cumplir con la creación del capítulo WIN ARCAL. Participaron 127 personas de Argentina, Brasil, Chile, Costa Rica, Cuba, Ecuador, Estados Unidos, México, Perú, Uruguay y Colombia</t>
  </si>
  <si>
    <t>PA-OARE-09-01</t>
  </si>
  <si>
    <t xml:space="preserve">Porcentaje de avance de las actividades para la inclusión de FNC de energía   </t>
  </si>
  <si>
    <t>Actividades realizadas para definir la hoja de ruta para el uso de hidrógeno como FNC</t>
  </si>
  <si>
    <t>Se adelanta el documento: "Actividades clave consultoría para la hoja de ruta del hidrógeno en Colombia" y la elaboración de la matriz de hojas de ruta del hidrógeno verde como complemento a las actividades de benchmarking con los países referentes.
Se hicieron comentarios y socialización de los artículos de hidrógeno en el Proyecto de Ley de transición energética.
Se ha realizado acompañamiento para coordinar las entidades involucradas en el proyecto piloto Transmilenio – Ecopetrol.</t>
  </si>
  <si>
    <t>En el mes de marzo el BID contrató la firma consultora, basado en los términos de referencia propuestos por la Oficina, se revisó la propuesta del consultor, el arranque y el cronograma de actividades.
Se adelantó el documento de contrapartes para el desarrollo de la hoja de ruta.
Junto con la OAJ, se trabajó sobre el articulado de hidrógeno y captura, almacenamiento y uso de carbono y se incorporaron los comentarios de los agentes consultados.</t>
  </si>
  <si>
    <t> Se solicitó concepto de la política de tratamiento de datos para la consulta preliminar de	la hoja de ruta de hidrógeno.
Junto con UPME, Ecopetrol, DANE y OAAS se hizo seguimiento	y coordinación de los insumos	requeridos por la firma consultora para la hoja	 de ruta del hidrógeno, en la elaboración de los modelos de producción, demanda y Emisiones.
Se dio respuesta a la encuesta remitida por la Agencia	Internacional	de Energía para el	estudio sobre hidrógeno en Latinoamérica.</t>
  </si>
  <si>
    <t>Se hicieron observaciones a proyecto Aceleración de la descarbonización con energía geotérmica para la producción y almacenamiento de hidrógeno verde.</t>
  </si>
  <si>
    <t>En fecha 3-jun se adelantó reunión con la Sociedad Alemana de Cooperación Internacional – GIZ, para planificar curso sobre Hidrógeno Verde en Colombia. El 25-jun, el consultor contratado por GIZ, HINICIO, presentó la temática a desarrollar en el curso.</t>
  </si>
  <si>
    <t>PA-OARE-09-02</t>
  </si>
  <si>
    <t>Acciones realizadas para la promoción de la Geotermia como FNC de energía</t>
  </si>
  <si>
    <t>En feb-19 se adelantó reunión con ANLA para ampliar comentarios relacionados con términos de referencia para elaboración de estudios de impacto ambiental en proyectos de exploración geotérmica.</t>
  </si>
  <si>
    <t xml:space="preserve">No se registró actividad
</t>
  </si>
  <si>
    <t>La promoción de la Geotermia como Fuente de Energía No Convencional–FNC en el País, está en cabeza del Despacho del Viceministro de Energía y de la Dirección de Hidrocarburos. El 8 de abril, se adelantó reunión con DIMAR revisando el tema de concesiones para proyectos eólicos offshore.</t>
  </si>
  <si>
    <r>
      <t xml:space="preserve">En fecha 24 de mayo, se participó junto con Ministerio de Vivienda, Ciudad y Territorio, Ministerio de Ambiente y la Corporación Autónoma Regional del Alto Magdalena, en presentación de la Universidad del Huila sobre Tratamiento térmico de residuos sólidos municipales para generación híbrida en los municipios del Huila. Se recomendó replantear el proyecto analizando el marco normativo y realizar estudios de viabilidad técnica, financiera, comercial y económica, antes de volverlo a presentar.
Con destino a </t>
    </r>
    <r>
      <rPr>
        <i/>
        <sz val="9"/>
        <rFont val="Calibri"/>
        <family val="2"/>
        <charset val="1"/>
      </rPr>
      <t xml:space="preserve">Clean Energy Finance Investment Mobilization -CEFIM, </t>
    </r>
    <r>
      <rPr>
        <sz val="9"/>
        <rFont val="Calibri"/>
        <family val="2"/>
      </rPr>
      <t>se emitió concepto favorable sobre proyecto “Condiciones propicias para la financiación de energías renovables: conocimiento para la bioenergía”
En fecha 18 de mayo, se participó en reunión donde el consultor contratado por el Banco Mundial, presentó la consultoría para obtener la hoja de ruta para proyectos de generación eólica Offshore</t>
    </r>
  </si>
  <si>
    <t>El grupo de Geotermia, realizó modificaciones y nueva versión de el Decreto deGeotermia, incluyendo comentarios del Ministerio de Ambiente y Desarrollo Sostenible</t>
  </si>
  <si>
    <t>PA-OARE-09-03</t>
  </si>
  <si>
    <t>Actividades realizadas para promover el uso de la nucleoenergía en Colombia y sus aplicaciones.</t>
  </si>
  <si>
    <t>Se inició gestión para realización de taller con el OIEA sobre legislación nuclear.
Se hizo selección inicial de criterios para revisión del estado de la nucleoenergía en la región, como punto de partida para la identificación de aspectos relevantes en la implementación de un programa nuclear.</t>
  </si>
  <si>
    <t>El 24 de marzo, ante el grupo de Carbono-neutralidad del MME, se realizó presentación sobre aspectos de la nucleo-energía en Colombia y cómo contribuye a la reducción de emisiones de CO2.</t>
  </si>
  <si>
    <t>Se realizó solicitud al OIEA para vincular al MME como parte del proyecto RLA2017 el cual tiene los productos: Capacidades para evaluar estrategias energéticas para mitigación del cambio climático; Estudio sobre el posible pale de la nucleoenergía en los países de la región; y Estudios integrales sobre desarrollo energético realizados en la región.</t>
  </si>
  <si>
    <t>En fecha 30-jun, se adelantó reunión con el equipo del senador Edgar Palacio para la revisión de los requerimientos nacionales para la importación y operación de un reactor modular de cuarta generación con fines de generación de energía eléctrica. Se adelantaron preparativos con el OIEA para curso virtual de Derecho Nuclear a realizarse en el mes de julio.</t>
  </si>
  <si>
    <t>PA-OARE-010-01</t>
  </si>
  <si>
    <t xml:space="preserve">Porcentaje de avance en las actividades realizadas afines a los materiales radiactivos de origen natural en los PPII, y en el sector mineroenergético   </t>
  </si>
  <si>
    <t>Actividades realizadas en la participación de los Pilotos de Exploración con Fracturación Hidráulica</t>
  </si>
  <si>
    <t>Físico /Electrónico</t>
  </si>
  <si>
    <t>En feb-25, se adelantó reunión con el área de radiación natural del Consejo de Seguridad Nuclear – CSN de España, en busca de colaboración para conceptuar sobre contenido de los documentos generados dentro de la metodología para caracterizar los radionucleidos de origen natural en los PPII.</t>
  </si>
  <si>
    <t>En fechas 19 y 25 de marzo, se adelantó reunión con ANLA revisando las observaciones sobre el documento de criterios de protección radiológica para los PPII.</t>
  </si>
  <si>
    <t>En fecha 15 de abril, se realizó reunión con ANLA para tratar temas de radionucleidos de origen natural en diferentes biotas y se dio continuación a la revisión de los criterios de protección radiológica para los PPII.</t>
  </si>
  <si>
    <t>En fecha 04 de mayo, se culminaron las mesas de trabajo con ANLA revisando las observaciones sobre el documento de criterios de protección radiológica para los PPII.</t>
  </si>
  <si>
    <t>En 04-jun, en reunión con ANLA, GENCAN presentó los niveles orientativos sobre exposición de radiación durante el desarrollo de las actividades de los PPII</t>
  </si>
  <si>
    <t>PA-OARE-010-02</t>
  </si>
  <si>
    <t>Actividades realizadas para visibilizar al tema de Materiales Radiactivos de Origen Natural en el sector Mineroenergético</t>
  </si>
  <si>
    <t>En fecha feb-4 se realizó reunión donde MME presentó a ANLA la metodología para caracterizar radionucleidos de origen natural en los PPII.</t>
  </si>
  <si>
    <t>Promovido por OAAS el 23 y 24 de marzo, GENCAN participó en Taller de Validación de escenarios accidentales priorizados (sectores: hidrocarburos, minería y energía eléctrica). En el marco de la estructuración de la política sectorial en gestión del riesgo, se presentó el tema de materiales radiactivos naturales desde la óptica de la injerencia en los sectores de hidrocarburos, minería y energía eléctrica.</t>
  </si>
  <si>
    <t>Se remitió documento de criterios de protección radiológica para los PPII, para revisión de experto de la región.</t>
  </si>
  <si>
    <t>El 04 de mayo a solicitud de ANLA, GENCAN presentó tópicos asociados con unidades radiométricas, conceptos básicos de radiación y equipamiento para detección de radiación debida a NORM en los PPII.
En fecha 24 de mayo, GENCAN participó en Taller acciones - política pública, para la gestión de riesgo de desastres del sector minero-energético.</t>
  </si>
  <si>
    <t>Se realizó nueva versión del documento de criterios de vigilancia radiológica durante el desarrollo de los PPII, donde se incluyeron los niveles orientativos sobre exposición a radiación debida a materiales NORM.</t>
  </si>
  <si>
    <t>PA-OCI-01-01</t>
  </si>
  <si>
    <t xml:space="preserve">Avance cumplimiento del Objetivo   </t>
  </si>
  <si>
    <t>Informe de Auditoria de riesgos elaborado</t>
  </si>
  <si>
    <t>Norma Regina Figueroa</t>
  </si>
  <si>
    <t xml:space="preserve">Papeles de Trabajo </t>
  </si>
  <si>
    <t>Carpeta compartida OCI</t>
  </si>
  <si>
    <t>Este informe se efectuara en el cuarto trimestre de 2021</t>
  </si>
  <si>
    <t>Este informe se efectuara en el cuarto trimestre de 2021 (Octibre)</t>
  </si>
  <si>
    <t>PA-OCI-01-02</t>
  </si>
  <si>
    <t>Mesas de análisis y valoración de riesgos realizada</t>
  </si>
  <si>
    <t>Ingrid Cecilia Espinoza Sanchez (Equipo OCI)</t>
  </si>
  <si>
    <t xml:space="preserve">La programacion de estas mesas inicia en el primer trimestre de 2021 </t>
  </si>
  <si>
    <t>Se realizó MARC-2021-001 Al Grupo de Comunicaciones y Prensa y las evidencias se encuentran registradas en la carpeta:  Oficina_Control_Interno\\172.17.0.150\c0)(Z:)</t>
  </si>
  <si>
    <t xml:space="preserve">La programacion de estas mesas se elaborarran a partir de tercer trimetre de  2021 </t>
  </si>
  <si>
    <t xml:space="preserve">La programacion de estas mesas se elaborarran a partir de tercer trimestre de  2021 </t>
  </si>
  <si>
    <t>En el mes de junio  de 2021 se  realizó una mesa de analisis y valoracion de riesgos al Grupo de  Jurisdiccion Coactiva . Las evidencias se encuentran registradas en la carpeta:  Oficina_Control_Interno\\172.17.0.150\c0)(Z:)</t>
  </si>
  <si>
    <t>PA-OCI-01-03</t>
  </si>
  <si>
    <t>Mesas de mejoramiento y prevención realizada</t>
  </si>
  <si>
    <t xml:space="preserve">La programacion de estas mesas inicia en el segundo trimestre de 2021 </t>
  </si>
  <si>
    <t>Se efectuo mesa de analisis y prevencion de riesgo al Grupo de Infraestructuta tecnologica, la cual se encuentra dicumentada en la carpeta Oficina_Control_Interno (\\172.17.0.150\c0) (Z:)</t>
  </si>
  <si>
    <t>En el mes de junio  de 2021 se  realizó una (1) mesa  de asesoria y prevencion, en la oficinade Planeacion y Gestion Internacional. Las evidencias se encuentran registradas en la carpeta:  Oficina_Control_Interno\\172.17.0.150\c0)(Z:)</t>
  </si>
  <si>
    <t>PA-OCI-01-04</t>
  </si>
  <si>
    <t>Informe de seguimiento atención a la CGR Elaborado</t>
  </si>
  <si>
    <t>Sandra Milena Castro Achury</t>
  </si>
  <si>
    <t>Este informe se efectua de manera semestral en febrero y julio de 2021</t>
  </si>
  <si>
    <t>Se relizo informe de seguimiento, medicion, analisis y evaluacion a la relacion con la CGR, con el siguiente numero de informe OCI-INF-2021-026, que se encuentra publicado en el siguiente enlace:  https://www.minenergia.gov.co/en/auditorias-internas-independientes.</t>
  </si>
  <si>
    <t>El próximo informe se efectuara en el mes de Julio de 2021</t>
  </si>
  <si>
    <t>El próximo informe se efectuara en el mes de septiembre de 2021.</t>
  </si>
  <si>
    <t>PA-OCI-01-05</t>
  </si>
  <si>
    <t>Avance del Programa de Auditoria Interna Independiente</t>
  </si>
  <si>
    <t>Armando Calderon Salom</t>
  </si>
  <si>
    <t xml:space="preserve">Estos documentos de seguimeinto inician en  febrero de 2021 </t>
  </si>
  <si>
    <t>Se realizo seguimiento, medicion, analisis y evaluacion al porgrama de Auditoria Interna Independiente PAII del ministerio de Minas y Energía a 31 de diciembre de 2020. SEGUIMIENTO- 2021-002 que se encuentra publicado en el portal Web de la entidad.</t>
  </si>
  <si>
    <t>El próximo documentos de seguimiento se efectuara en el mes de abril de 2021</t>
  </si>
  <si>
    <t>Se realizo seguimiento, medicion, analisis y evaluacion al porgrama de Auditoria Interna Independiente PAII del ministerio de Minas y Energía a 31 de marzo de 2021. SEGUIMIENTO- 2021-008 que se encuentra publicado en el portal Web de la entidad.</t>
  </si>
  <si>
    <t>Se realizo seguimiento, medicion, analisis y evaluacion al porgrama de Auditoria Interna Independiente PAII del ministerio de Minas y Energía a 31 de marzo de 2021. SEGUIMIENTO- 2021-008 que se encuentra publicado en el portal Web de la entidad. El proximo informe se efectuara en el mes de julio de 2021</t>
  </si>
  <si>
    <t>PA-OCI-01-06</t>
  </si>
  <si>
    <t>Mesas de seguimiento a la gestión por área organizacional Documentadas</t>
  </si>
  <si>
    <t>Estas mesas de seguimiento se encuentran programadas para el tercer trimestre de 2021</t>
  </si>
  <si>
    <t>PA-OCI-01-07</t>
  </si>
  <si>
    <t>Programa de Auditoría Interna Independiente Formulado</t>
  </si>
  <si>
    <t>Mediante correo electronico del 15 de enero de 2021 se realizó propuesta inical de formulacion  del programa de Auditoria Independiente- PAII 2021, para consideracion de la jefe de la OCI y del Grupo de trabajo. La propuesta se encuentra ubicada en la carpeta Oficina_Control_Interno\\172.17.0.150\c0)(Z:) carpeta programa auditoria interna 2021.</t>
  </si>
  <si>
    <t>Mediante correo electronico del 11 y 17 de febrero  de 2021, se presentaron las consideraciones relevantes de la formulacion al programa  de Auditoria Independiente- PAII 2021. La propuesta se encuentra ubicada en la carpeta Oficina_Control_Interno\\172.17.0.150\c0)(Z:) carpeta programa auditoria interna 2021.</t>
  </si>
  <si>
    <t>META CUMPLIDA, Toda vez que el Programa se formuló en el mes de enero de 2021</t>
  </si>
  <si>
    <t>PA-OPGI-01-01</t>
  </si>
  <si>
    <t>Cooperación tecnica recibida para consultorias, estudios y proyectos</t>
  </si>
  <si>
    <t>bcarreño</t>
  </si>
  <si>
    <t>Dólares</t>
  </si>
  <si>
    <t>Grabaciones, documentos, ayudas de memoria</t>
  </si>
  <si>
    <t>Onedrive/SIGI</t>
  </si>
  <si>
    <t>1. Cooperación técnica no reembolsable del Banco Mundial para una consultoría en implementación de política de género del sector en Colombia.</t>
  </si>
  <si>
    <t>Este mes si bien se gestionaron propuestas de cooperación no se recibieron confirmaciones de aprobación por parte de los cooperantes</t>
  </si>
  <si>
    <t>Este mes si bien se gestionaron propuestas de cooperación no sólo se recibión la confirmación de aprobación de una propuesta remitida a la Embajada de Canadá</t>
  </si>
  <si>
    <t>Este mes si bien se gestionaron propuestas de cooperación no se recibió la confirmación de aprobación de alguna de las gestiones realizadas</t>
  </si>
  <si>
    <t>PA-OPGI-01-02</t>
  </si>
  <si>
    <t>Cooperación tecnica recibida para fortalecimiento de capacidades</t>
  </si>
  <si>
    <t>1. Sesión de intercambio de conocimiento con la Fundación Rockefeller para conocer su experiencia en procesos de reconstrucción a ser aplicados en el caso de Providencia.
2. Intercambio de experiencias con la Embajada de UK en eólicos Offshore.
3. En el marco de la cooperación con la IEA se pudo acceder a una sesión de introducción al Curso en Línea sobre Eficiencia Energética en Edificaciones.</t>
  </si>
  <si>
    <t>1.En el marco de la cooperación con la IEA se pudo acceder a una sesión de introducción sobre el curso de indicadores de eficiencia energética.
2. Se coordinó con la Embajada de Noruega en Colombia  capacitaciones lideradas por ICH Noruega y ACOLGEN en temas de  hidrógeno y geotermia.
3. Se continuó con las sesiones de capacitación con empresas danesas sobre eficiencia energética, realizando la segunda sesión enfocada en Distritos Térmicos, con participación de funcionarios del Ministerio y de FENOGE.</t>
  </si>
  <si>
    <t xml:space="preserve">1.En el marco de la cooperación con la IEA se pudo acceder a una sesión con una experta en temas de AMI
Esta cooperación técnica de fortalecimiento de capacidades no pudo ser cuantificada porque es información no facilitada por la contraparte.
*El cumplimiento parcial de la meta de este indicador está proyectado para el mes de junio, para entonces se reportará el logro del mismo </t>
  </si>
  <si>
    <t>1. Se desarrolló una sesión de intercambio con el equipo del Puerto de Rotterdam en temas de hidrógeno.</t>
  </si>
  <si>
    <t>PA-OPGI-02-01</t>
  </si>
  <si>
    <t>Numero de participaciones del ministro, viceministros o directores en espacios internacionales de alto nivel</t>
  </si>
  <si>
    <t xml:space="preserve"> </t>
  </si>
  <si>
    <t>Número de participaciones</t>
  </si>
  <si>
    <t>Matriz de eventos</t>
  </si>
  <si>
    <t>Onedrive</t>
  </si>
  <si>
    <t xml:space="preserve">3/03/21 CERAWEEK Foro para América Latina 9/03/21 -  PDAC
15/03/21 - Encuentro de ministros de minas PDAC
16/03/21 Asamblea del BID
16/03/21 Berlin Energy Transition - Dialogue 2021
16/03/21 Berlin Energy Transition Dialogue - BDI
15/03/21 First Commission Meeting IEA </t>
  </si>
  <si>
    <t>13/04/21 - 2021 BNEF Summit New York
14/04/21 BID - Congreso del Hidrógeno para América Latina y el Caribe (H2LAC).</t>
  </si>
  <si>
    <t>20/05/21 Reunión número XV de CANREL
25/05/21 ONU - Global Roundtable on Extractive Industries.
26/05/21 - Congreso de la República de Perú - Foro de Alto Nivel "El Futuro de las Energías Renovables y la Transición ENergética en América Latina".
27/05/21 Entrevista SEforAll.</t>
  </si>
  <si>
    <t xml:space="preserve">23/06/21 Foro Ministerial del Diálogo de Alto Nivel sobre Energía de la ONU
24/06/21 Segunda reunión de la Comisión Global de la IEA para las Transiciones Energéticas Limpias Centradas en las Personas. </t>
  </si>
  <si>
    <t>PA-OPGI-02-02</t>
  </si>
  <si>
    <t>Numero de participaciones del ministerio en eventos o actividades desarrolladas en el marco de iniciativas internacionales u organizaciones internacionales</t>
  </si>
  <si>
    <t>Matriz de seguimiento</t>
  </si>
  <si>
    <t xml:space="preserve">05/03/21 WEF- Energy Transition Roundtable: Latin America
9/03/21 - Reunión sobre los Energy COMPACTS con la Secretaría del Dialogo de Alto Nivel
sobre energía.
11/03/21 - Reunión de los Global Champions de Transición Energética del Dialogo de Alto Nivel sobre energía.
17/03/21 - Reunión de Comité de Coordinación - RELAC
24/03/21 - Discusión de los foros ministeriales del Dialogo de Alto Nivel
•  26/03/21 - Reunión técnica de los Global Champions en transición energética en el Diálogo de Alto Nivel. </t>
  </si>
  <si>
    <t>14/04/21 Segunda reunión del grupo técnico de trabajo de la temática de Transición Energética del Diálogo de Alto Nivel sobre Energía
20/04/21 Taller introductorio de los Energy Compacts en el marco del Diálogo de Alto Nivel sobre Energía
22/04/21 Reunión bilateral con el equipo de Naciones Unidas que coordina los Energy Compacts.</t>
  </si>
  <si>
    <t>4/05/21 Reunión para coordinar un piloto de identificación de necesidades para el despliegue de energías renovables en el marco de la iniciativa RELAC.
5/05/21 Reunión preparatoria para los foros ministeriales del Dialogo de Alto Nivel sobre Energía de la ONU.
25/05/21 Y 26/05/21 Sesión XXI del Consejo de la IRENA
12/05/21 Reunión de coordinación de RELAC.
20/05/21 Reunión final del grupo técnico de trabajo de la temática de Transición Energética del Diálogo de Alto Nivel sobre Energía.</t>
  </si>
  <si>
    <t>23/06/21 Side Event - RELAC Energy Compact
1/06/21 Reunión del Subcomité de CANREL para analizar los comentarios de los países de la CAN sobre los borradores de reglamentos de la decisión CAN 816
9/06/21 Reunión del Subcomité de CANREL para analizar los comentarios de los países de la CAN sobre los borradores de reglamentos de la decisión CAN 816
18/06/21 Reunión del Subcomité de CANREL para analizar los comentarios de los países de la CAN sobre los borradores de reglamentos de la decisión CAN 816
30/06/21 - Reunión del Subcomité de CANREL para analizar los comentarios de los países de la CAN sobre los borradores de reglamentos de la decisión CAN 81624/06/21 Segunda reunión</t>
  </si>
  <si>
    <t>Ejecutar ciclo de auditorías internas 2021</t>
  </si>
  <si>
    <t>ciclo de auditorías</t>
  </si>
  <si>
    <t>Ciclo de auditorías</t>
  </si>
  <si>
    <t>Se viene trabajando en la organización de la capacitación de los auditores internos</t>
  </si>
  <si>
    <t>Realizar revisión por la alta dirección</t>
  </si>
  <si>
    <t>Revisión por la alta dirección</t>
  </si>
  <si>
    <t>Se está recopilando y organizando toda la información para la revisión por la alta direción</t>
  </si>
  <si>
    <t>Jornadas pedagógicas enfoque a procesos, ISO 9001, MIPG y Riesgos</t>
  </si>
  <si>
    <t>nhbravo</t>
  </si>
  <si>
    <t>Numero de jornadas</t>
  </si>
  <si>
    <t>Se realizaron dos jornadas academicas enfocadas en los temas: 
1. Beneficios y Fortalecimiento del sistema de gestión de calidad
2. Aspectos clave de la ISO 9001:2015
Alos líderes MECI-Calidad del MME</t>
  </si>
  <si>
    <t>Se realizaron dos jornadas academicas enfocadas en los temas: 
1. Aspectos clave de la ISO 9001:2015
2. Enfoque a  procesos
A los líderes MECI-Calidad del MME</t>
  </si>
  <si>
    <t>Se realizaron dos jornadas academicas enfocadas en los temas: 
1. Gestión de riesgos
2. Seguimiento y medición
A los líderes MECI-Calidad del MME</t>
  </si>
  <si>
    <t>Lanzamiento modulo documental</t>
  </si>
  <si>
    <t>Módulos en producción</t>
  </si>
  <si>
    <t>Los módulos Documental y Plan de Acción se encuentran en ambiente de producción</t>
  </si>
  <si>
    <t>Indicador cumplido en el mes de mayo</t>
  </si>
  <si>
    <t>Lanzamiento modulo PAA</t>
  </si>
  <si>
    <t>Desarrollo y lanzamiento módulo auditorías</t>
  </si>
  <si>
    <t>Se viene trabajando en el desarrollo del modulo</t>
  </si>
  <si>
    <t>Desarrollo y lanzamiento módulo riesgos</t>
  </si>
  <si>
    <t>Sendas intervenidas en el ministerio</t>
  </si>
  <si>
    <t>Sendas</t>
  </si>
  <si>
    <t>Documentación sendas</t>
  </si>
  <si>
    <t>Se esta en seguimiento de la senda 3 y se empezará a trabajar en la senda 4</t>
  </si>
  <si>
    <t>Mesas técnicas con las dependencias para recolectar evidencias del FURAG</t>
  </si>
  <si>
    <t>amnieto</t>
  </si>
  <si>
    <t>Matrices Furag</t>
  </si>
  <si>
    <t>Se crearon 20 mesas técnicas con los líderes de políticas del Modelo Integrado de Planeación y Gestión, en las que interactuaron representantes de los diferentes dueños de procesos en varias reuniones para cada mesa, a fin de atender de manera colaborativa el Formulario Único de Reporte y Avance de Gestión FURAG correspondiente a la gestión realizada en 2020 y asegurando que tanto las respuestas como las evidencias aportadas, cumplieran con características de calidad, coherencia, y consistencia.  Cada mesa contó adicionalmente con asesores de la Oficina de Planeación y Gestión Internacional para orientar el proceso que se consolidó en bases de datos y luego fueron consignadas en el aplicativo del DAFP.</t>
  </si>
  <si>
    <t>Se cumplió en el mes de marzo</t>
  </si>
  <si>
    <t>Diligenciamiento de herramienta FURAG</t>
  </si>
  <si>
    <t>Herramienta Furag</t>
  </si>
  <si>
    <t xml:space="preserve">El Formulario Único de Reporte y Avance de Gestión FURAG fue atendido de acuerdo al cronograma establecido por el Departamento Administrativo de la Función Pública en un 100% en el aplicativo destinado para este fin, tal como lo evidencia el certificado emito por dicha entidad con un nivel de diligenciamiento identificado como "COMPLETO", lo que indica que todas las 479 preguntas y 23 preguntas de tipo perceptual o informativas fueron respondidas y todas las evidencias requeridas fueron igualmente consignadas.
</t>
  </si>
  <si>
    <t>Recibir resultados por parte de la función publica</t>
  </si>
  <si>
    <t>Puntaje</t>
  </si>
  <si>
    <t>Puntaje Furag</t>
  </si>
  <si>
    <t>Se cumplió en el mes de mayo</t>
  </si>
  <si>
    <t>Publicar avances presupuestales y el cronograma de actividades de conformidad con el ciclo presupuestal</t>
  </si>
  <si>
    <t>Informes presupuestales</t>
  </si>
  <si>
    <t xml:space="preserve">Se realizó el informe trimestral de Ejecución Presupuestal a Marzo 2021 y se publico en la página web. </t>
  </si>
  <si>
    <t>El informe se realizará con corte a segundo trimestre</t>
  </si>
  <si>
    <t>Se publicaron los informes en febrero y abril, el proximo se publica en agosto</t>
  </si>
  <si>
    <t>Generar un mecanismo de seguimiento de los recursos de inversión regionalizados y focalizados</t>
  </si>
  <si>
    <t>Construir la base de datos</t>
  </si>
  <si>
    <t>Base de datos construida</t>
  </si>
  <si>
    <t>Se cumplió el mes anterior</t>
  </si>
  <si>
    <t>Construcción de propuestas</t>
  </si>
  <si>
    <t>Propuestas</t>
  </si>
  <si>
    <t xml:space="preserve">Se realizó la propuesta de Informe de BI sobre la Ejecución Presupuestal recursos de Inversión y Funcionamiento, Regionalización, Focalización e Indicadores de Producto y Gestión descritos en el aplicativo SPI. </t>
  </si>
  <si>
    <t>Implementación de propuesta acorde</t>
  </si>
  <si>
    <t xml:space="preserve">En complemento al Tablero de Control BI de la ejecución Presupuestal, se diseño el Boletin de Ejecución Presupuestal del Sector Minero Energético. </t>
  </si>
  <si>
    <t>Grupo de Gestión Financiera y Contable</t>
  </si>
  <si>
    <t xml:space="preserve">Crear guía de seguimiento a los  recursos en administracion, con el fin de llevar un mejor control de los activos que tiene la entidad.
</t>
  </si>
  <si>
    <t>jerodriguez</t>
  </si>
  <si>
    <t>Se ha dado inicio a prueba piloto para documentar y como soporte  para hacer la guia</t>
  </si>
  <si>
    <t>Sin avance</t>
  </si>
  <si>
    <t>Desarrollado mesa de trabajo con DEE</t>
  </si>
  <si>
    <t>Se viene trabajando en la Guia, en el mes de julio se generarán algunos avances</t>
  </si>
  <si>
    <t>Automatizacion del tramite para las obligaciones de avace y legalizacion para  la gestion de viatcos tanto de funcionaros como contratistas a traves de la NEON
1. Guia de seguimiento  elaborada e implementada.</t>
  </si>
  <si>
    <t>Hemos avanzado en la parametrización tecnica de la solución informatica, y esperamos que en losproximos meses podamos tener un producto finalen pruebas</t>
  </si>
  <si>
    <t>Se revisan ultimas mejoras</t>
  </si>
  <si>
    <t>No se reporta avance</t>
  </si>
  <si>
    <t>PA-GGISC-01-01</t>
  </si>
  <si>
    <t xml:space="preserve">Procesos documentales soporte de trámites y servicios estratégicos de alto impacto optimizados   </t>
  </si>
  <si>
    <t>Aplicativos y/o sistemas de información gestores de procesos o tramites institucionales  integrados con el SGDEA</t>
  </si>
  <si>
    <t>Plan Estratégico de Tecnologías de la Información y las Comunicaciones ­ PETI</t>
  </si>
  <si>
    <t>SGDEA</t>
  </si>
  <si>
    <t>Se han priorizado para la presente vigencia, en el SGDEA – ARGO el desarrollo de funcionalidades y servicios asociados al Proceso coactivo, de los cuales se ha adelantado la creación efectiva de los expedientes en gestión,</t>
  </si>
  <si>
    <t>Proceso coactivo, de los cuales se ha caracterización documental de la información producida y
 al citado aplicativo, los cuales se encuentran actualmente disponibles para cargue de documentos producidos en razón al trámite.</t>
  </si>
  <si>
    <t xml:space="preserve">Como resultado de la evaluación técnica de potencialidades de los aplicativos y pertinencia integración del aplicativo SGDEA con soluciones complementarias frente a la prestación de servicios, se ha priorizado la integración al aplicativo SIPOS que permitirá la confirmación de entrega efectiva de las comunicaciones físicas.. l planteamiento se encuentra contemplado en la ficha técnica del proceso precontractual en curso. Radicada ante el GGC mediante consecutivo 3-2021-006946 de fecha 31-mar-2021.  </t>
  </si>
  <si>
    <t>Con base en el levantamiento de información previo, se adelantó el modelamiento del requerimiento de integración de aplicativos. Los requerimientos específicos se encuentran en etapa de sondeo de mercado mediante la referencia SIP-027-2021, sobre los cuales se espera confirmar resultados con corte al 07 de mayo.</t>
  </si>
  <si>
    <t>Revisada la información resultante del proceso de sondeo de mercado, estos ítems son priorizados dentro del Anexo Técnico para contratación.
El proceso actualmente se encuentra en formulación de Estudio Previo, los componentes técnicos se encuentran ya dispuestos.  Aprobado ajuste de PLC. Se encuentra en proceso la expedición del CDP.</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</si>
  <si>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</si>
  <si>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PA-GGISC-01-02</t>
  </si>
  <si>
    <t>Procesos o tramites institucionales modelados en el SGDEA</t>
  </si>
  <si>
    <t>Plan Institucional de Archivos de la Entidad ­PINAR</t>
  </si>
  <si>
    <t>De conformidad con la valoraciòn de importancia tècnica y estratègica, se priorizò la modelaciòn del proceso de atenciòn de requerimientos de Agnetes de Cadena</t>
  </si>
  <si>
    <t xml:space="preserve">Proceso/tramite/Servicio priorizado: Gestión de Acreditaciones Agentes de Cadena - SICOM 
Se han adelantado mesas de trabajo de modelación de requerimientos con las áreas que funcionalmente gestionan dicho proceso, así como con el contratista que soporta los tramites. Esta gestión se encuentra en etapa de análisis sin implicar materialización total ni parcial del servicio, por cuanto e mantiene el reporte numérico de la meta en 0. </t>
  </si>
  <si>
    <t xml:space="preserve">Como resultado de la evaluación técnica de potencialidades de los aplicativos y pertinencia del desarrollo de soluciones integrales se ha priorizado la modelación de los procesos Coactivo y Disciplinarios para desarrollo en el marco de la presente vigencia en el SGDEA. El planteamiento se encuentra contemplado en la ficha técnica del proceso precontractual en curso. Radicada ante el GGC mediante consecutivo 3-2021-006946 de fecha 31-mar-2021  </t>
  </si>
  <si>
    <t>Con base en el levantamiento de información previo, se adelantó el formulación del requerimiento de modelado de procesos. Los requerimientos específicos se encuentran en etapa de sondeo de mercado mediante la referencia SIP-027-2021, sobre los cuales se espera confirmar resultados con corte al 07 de mayo.</t>
  </si>
  <si>
    <t>PA-GGISC-01-03</t>
  </si>
  <si>
    <t>Servicio de consulta web de reguimiento a las comunicaciones radicadas</t>
  </si>
  <si>
    <t xml:space="preserve">Servicio a desarrollar durante la vigencia 2021, se encuentra actualmente en etapa de formulación de los componentes precontractuales. </t>
  </si>
  <si>
    <t xml:space="preserve">El planteamiento se encuentra contemplado en la ficha técnica del proceso precontractual en curso. Se radicó ante el Grupo de Gestión Contractual documentación para la contratación mediante consecutivo 3-2021-006946 de fecha 31-mar-2021  </t>
  </si>
  <si>
    <t>Con base en el levantamiento de información previo, se adelantó el formulación del requerimiento de consulta web. Los requerimientos específicos se encuentran en etapa de sondeo de mercado mediante la referencia SIP-027-2021, sobre los cuales se espera confirmar resultados con corte al 07 de mayo.</t>
  </si>
  <si>
    <t xml:space="preserve">Revisada la información resultante del proceso de sondeo de mercado, estos ítems son priorizados dentro del Anexo Técnico para contratación. Se estructuraron los estudios previos y se remitieron al grupo de Gestión Contractual mediante radicado 3-2021-011828. 
Esta documentación fue el soporte para la presentación ante Comité de Contratos del 29.jun.2021, publicado en Secop II el día 30 de junio, bajo el proceso precontractual de selección abreviada SA-03-2021.  </t>
  </si>
  <si>
    <t>PA-GGISC-02-01</t>
  </si>
  <si>
    <t xml:space="preserve">Archivos de Gestión Priorizados Digitalizados e indexados en SGDEA   </t>
  </si>
  <si>
    <t>Inventarios de archivos  actualizados</t>
  </si>
  <si>
    <t>Digital- Drive</t>
  </si>
  <si>
    <t>Actualmente se adelanta proceso pre-contractual, estudios previos y ficha tecnica, en los cuales se involucra la actividad.</t>
  </si>
  <si>
    <t>Se tiene previsto  la radicación de la ficha técnica para el mes de marzo y la posterior entrega de los estudios previos.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</si>
  <si>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 Se radica ficha técnica ante el Grupo de Gestión Contractual con radicado No. 3-2021-006390 el 23 de marzo de 2021.</t>
  </si>
  <si>
    <t>Se remite el estudio previo al Grupo de Gestión Contractual mediante radicado No. 3-2021-009107 del 4 de mayo de 2021. Lo anterior permite dar inicio al proceso precontractual del proyecto de inversión para la vigencia 2021, mediante la publicación en SECOP II de la LP 01-2021.</t>
  </si>
  <si>
    <t xml:space="preserve">Se reciben y responden observaciones al proyecto de pliego de condiciones, las cuales fueron presentadas por los oferentes durante audiencia pública de asignación de riesgos del 16 de junio de 2021, a través de la plataforma SECOP II. 
Se radicó la solicitud de adendas al Grupo de Gestión Contractual mediante comunicados internos 3-2021-012203 y 3-2021-012478 del 25 y 30 de junio de 2021, respectivamente. De acuerdo al cronograma se estima realizar la adjudicación del proceso el próximo 30 de julio de 2021. </t>
  </si>
  <si>
    <t>PA-GGISC-02-02</t>
  </si>
  <si>
    <t>Inventarios de archivos  organizados</t>
  </si>
  <si>
    <t>Se realizó un levantamiento de información con el fin de cuantificar en metros lineales la volumetría actual de los archivos de gestión, lo cual aporto en la construcción del anexo técnico del proceso pre-contractual, estudios previos y ficha técnica. Se radica ficha técnica.</t>
  </si>
  <si>
    <t>PA-GGISC-02-03</t>
  </si>
  <si>
    <t>Inventarios de archivos  digitalizados</t>
  </si>
  <si>
    <t>Se realizo un levantamiento de información con el fin de cuantificar en metros lineales la volumetría actual de los archivos de gestión, lo cual aporto en la construcción del anexo técnico del proceso pre-contractual, estudios previos y ficha técnica.
Se radica ficha técnica.</t>
  </si>
  <si>
    <t>PA-GGISC-03-01</t>
  </si>
  <si>
    <t xml:space="preserve">Carga operativa de las áreas técnicas disminuida en la atención de peticiones de primer nivel   </t>
  </si>
  <si>
    <t>Procedimiento para la clasificacion de solicitudes de  menor complejidad o primer nivel.</t>
  </si>
  <si>
    <t>SIGME</t>
  </si>
  <si>
    <t>Se están adelantando las mesas de trabajo con las áreas técnicas para definir los procesos suceptibles de atención en primer nivel</t>
  </si>
  <si>
    <t>Se realizó la actuación del PROCEDIMIENTO PARA ATENCIÓN Y CONTROL DE LOS   DERECHOS DE PETICIÓN, QUEJAS, RECLAMOS Y SOLICITUDES DE INFORMACIÓN – PQRS, el cual fue presentado a la Oficina de Planeación y Gestión Internacional con el fin de ser aprobado dentro del Sistema de Gestión de calidad del Ministerio. La nueva versión del procedimiento es la siguiente: Código: SC-P-01, Fecha: 30-03-2021, Versión: 4.</t>
  </si>
  <si>
    <t xml:space="preserve">Meta cumplida en el mes de marzo de 2021, al contar con el PROCEDIMIENTO PARA ATENCIÓN Y CONTROL DE LOS DERECHOS DE PETICIÓN, QUEJAS, RECLAMOS Y SOLICITUDES DE INFORMACIÓN - PQRS (Código: SC-P-01, Fecha: 30-03-2021, Versión: 4). Desde el 19 de abril de 2021, se inició la atención de solicitudes de primer nivel con los modelos de plantilla avalados por la Dirección de Hidrocarburos. </t>
  </si>
  <si>
    <t>El proceso de atención de primer nivel dio inicio a partir del 9 de mayo, luego de ejecutada la prueba piloto en la que se realizaron ajustes necesarios en los aplicativos, permisos y bases de datos. En la fase de ejecución de mayo se atendieron 94 comunicaciones de las cuales 34 corresponden a temas de subsidios de Glp en Cilindros, 42 a solicitudes de corrección de información de GNCV, 10 a estado de radicados, 6 a solicitudes de información estadística del sector y 2 comunicaciones con error en su asignación inicial. El informe completo puede ser consultado por medio del enlace:
https://minenergiacol-my.sharepoint.com/personal/asaavedrac_minenergia_gov_co/_layouts/15/onedrive.aspx?id=%2Fpersonal%2Fasaavedrac%5Fminenergia%5Fgov%5Fco%2FDocuments%2FATENCI%C3%93N%20DE%20PRIMER%20NIVEL%2FINFORMES%20MENSUALES%2FMayo</t>
  </si>
  <si>
    <t>Durante el mes de junio el Grupo de Gestión de la Información y Servicio al Ciudadano, atendió directamente 151 PQRS de primer nivel, lo cual contribuye a la reducción de los tiempos de respuesta a los ciudadanos y grupos de valor (Las comunicaciones se resolvieron en 3 días hábiles), igualmente a disminuir la carga operativa en las áreas misionales.
La mayor cantidad de comunicaciones recibidas fueron las relacionadas con Subsidios de GLP. Las temáticas atendidas fueron:
ü Subsidios de GLP 129
ü Solicitudes de estado de radicado 7
ü Correcciones de información de GNCV 6
ü Radicados con asignación incorrecta 5
ü Solicitudes de información general 3
ü Estadísticas del sector Minero Energético 1.
El informe completo puede ser consultado por medio del siguiente enlace:
https://minenergiacol-my.sharepoint.com/:f:/g/personal/asaavedrac_minenergia_gov_co/EktL84grAIlBtMCrdz2HDFEB-as8h3x0alhQQfWWQ4pd-Q?e=fXBZfJ</t>
  </si>
  <si>
    <t>PA-GGISC-03-02</t>
  </si>
  <si>
    <t>Modelos de respuestas estandarizadas.</t>
  </si>
  <si>
    <t>Digital - Drive</t>
  </si>
  <si>
    <t>Se tienen las plantillas para atender temas relacionados con subsidios de GLP y procedimiento de corrección de información de GNCV</t>
  </si>
  <si>
    <t>Se cuenta con seis modelos de plantillas digitalizadas para atender consultas de primer nivel. Se realizará la validación de todos los documentos con el fin avalarlos e iniciar la atención de peticiones.</t>
  </si>
  <si>
    <t>Se cuenta con 10 plantillas digitalizadas para dar respuesta a solicitudes de información de primer nivel. 
Al mes de abril de 2021, se atendieron 20 solicitudes de primer nivel con los modelos de plantilla avalados por la Dirección de Hidrocarburos. El promedio diario de PQRDS de primer nivel atendidas desde el 19 abril al 30 de abril de 2021, es de 3 comunicaciones, cumpliendo con los tiempos determinados por Acuerdos de Niveles de Servicio - ANS (2 días hábiles). Igualmente se está enviando la encuesta de medición de satisfacción junto con cada respuesta notificada al ciudadano.</t>
  </si>
  <si>
    <t>Se cuenta con 16 plantillas digitalizadas para la atención de  PQRDS de primer nivel. En el trasnscurso del mes de mayo se atendieron 94 comunicaciones con las plantillas diseñadas.</t>
  </si>
  <si>
    <t>Con corte a junio, tenemos funcionales 16 plantillas estandarizadas, que en el momento se están utilizando para responder de forma estandarizada las PQRS de primer nivel. La carpeta completa se puede consultar por medio del siguiente enlace:
https://minenergiacol-my.sharepoint.com/personal/pamunozt_minenergia_gov_co/_layouts/15/onedrive.aspx?id=%2Fpersonal%2Fpamunozt%5Fminenergia%5Fgov%5Fco%2FDocuments%2FPlantillas&amp;ct=1625611938983&amp;or=OWA%2DNT&amp;cid=641ad489%2D11f0%2D29e0%2D763a%2D0b63df495907&amp;originalPath=aHR0cHM6Ly9taW5lbmVyZ2lhY29sLW15LnNoYXJlcG9pbnQuY29tLzpmOi9nL3BlcnNvbmFsL3BhbXVub3p0X21pbmVuZXJnaWFfZ292X2NvL0VqUjNyTEY1SVpSS2dCbE5xODhhS0swQkdsblVBVnM3NkhmcFVrRXl0bWUxT0E%5FcnRpbWU9T0RzY3R0QkEyVWc</t>
  </si>
  <si>
    <t>PA-GGISC-03-03</t>
  </si>
  <si>
    <t>Nivel de satisfacción de los ciudadanos y grupos de valor con el nuevo modelo de operación.</t>
  </si>
  <si>
    <t>Fisico</t>
  </si>
  <si>
    <t>Portal Web</t>
  </si>
  <si>
    <t>Una vez establecido el procedimiento para la clasificacion de solicitudes de  menor complejidad o primer nivel y se empiece a dar respuesta, se medirá el nivel de satisfacción de los ciudadanos y grupos de valor con el nuevo modelo de operación.</t>
  </si>
  <si>
    <t>En el nuevo PROCEDIMIENTO PARA ATENCIÓN Y CONTROL DE LOS   DERECHOS DE PETICIÓN, QUEJAS, RECLAMOS Y SOLICITUDES DE INFORMACIÓN – PQRS, se incluyó la atención de peticiones de primer nivel, se cuenta con seis modelos de plantillas para avalar y una vez se inicie al proceso de atención, se realizará medición de la satisfacción de los usuarios.</t>
  </si>
  <si>
    <t xml:space="preserve">Desde el 19 abril de 2021, se inició la atención de PQRDS de primer nivel y junto con la respuesta se está enviando la encuesta de medición de satisfacción.  Se estima que en el segundo semestre se conozca el "Nivel de satisfacción de los ciudadanos y grupos de valor con el nuevo modelo de operación" </t>
  </si>
  <si>
    <t>A partir del 7 de mayo se dio inicio al proceso de ejecución de atención de primer nivel y alternamente se realiza  el proceso de medición de satisfacción de los ciudadanos  frente a los tiempos de respuesta, para captura de información se está enviando una encuesta en la que se evidenció en el primer informe, una mejora  frente a los resultados de la vigencia 2020</t>
  </si>
  <si>
    <t>El proceso de medición se realiza de manera permanente, utilizando una encuesta que se envía a los Ciudadanos junto con la respuesta de su solicitud. Durante el mes de junio reportamos niveles de satisfacción que alcanzaron el 90% (48% Bueno y 42% Excelente). El informe completo puede ser consultado por medio del siguiente enlace:
https://minenergiacol-my.sharepoint.com/:f:/g/personal/asaavedrac_minenergia_gov_co/EktL84grAIlBtMCrdz2HDFEB-as8h3x0alhQQfWWQ4pd-Q?e=14NaHn</t>
  </si>
  <si>
    <t>PA-GGISC-04-01</t>
  </si>
  <si>
    <t xml:space="preserve">Ejercicios de prototipado o implementacion de ideas    </t>
  </si>
  <si>
    <t xml:space="preserve">Energy Innovation Tank </t>
  </si>
  <si>
    <t>Digital / Fisico</t>
  </si>
  <si>
    <t>Drive</t>
  </si>
  <si>
    <t>Se cuenta con el programa de innovacion por parte de la Secretaria General, el cual se espera socializado al interior de la entidad durante el primer cuatrimestre de 2021</t>
  </si>
  <si>
    <t>Desde la Secretaria General se realizará el lanzamiento del programa de innovación, el cual contempla como uno de las acciones el Energy Innovation Tank, en donde todas las áreas y colaboradores del MinEnergía podrán participar con iniciativas de innovación para la mejora de sus procesos y servicios.</t>
  </si>
  <si>
    <t>Se estima que el lanzamiento del programa de innovación durante la semana de la Nueva Energía, a realizarse en mayo de 2021, en donde uno de los espacios contempla el lanzamiento de un reto en el marco del Energy Innovation Tank, en donde todas las áreas y colaboradores del MinEnergía podrán participar con iniciativas de innovación para la mejora de sus procesos y servicios.</t>
  </si>
  <si>
    <t xml:space="preserve">Fue realizada la semana de la cultura y la innovación 2021 entre el 18 y 21 de Mayo, para el lanzamiento del Energy Innovation Tank.  Igualmente se está trabajando en los procesos de implementación de dos iniciativas en marcadas en la medición de la huella de carbono y desing thinking para los tramites de cara al ciudadano, soluciones que fueron propuestas por los colaboradores del Ministerio. </t>
  </si>
  <si>
    <t>En el marco de la iniciativa "Energy Innovation Tank", fue lanzado el Reto “Innovación en Familia” con el slogan súmate a ser creativo y a hacer cosas nuevas. Este reto contó con dos categorías para la participación de toda la comunidad Minenergia; la primera como mejor practica y la segunda como mejor apuesta
Del mismo modo y durante el presente mes fueron realizados losestudios previos del proyecto Reto Colombia 2021 comunidades energéticas y enviados al area contractual.
- El 29 de junio fue presentado en comité de contratación el convenio entre el Minenergia y el CIDET obteniendo una respuesta favorable para su contratación y desarrollo de las fases planteadas.
- Fue planteada la propuesta de cronograma de trabajo para los seis (6) meses de ejecución del proyecto por fases y entregables.
- Realización de reuniones con los diferentes actores del convenio CIDET, Colombia Inteligente, FENOGE, OAAS, con el fin de definir los objetivos del proyecto.
- Se realiza carpeta compartida en drive para seguimiento y publicación de los archivos en:
https://minenergiacol-my.sharepoint.com/personal/jagalvis_minenergia_gov_co/_layouts/15/onedrive.aspx?id=%2Fpersonal%2Fjagalvis%5Fminenergia%5Fgov%5Fco%2FDocuments%2FINNOVACI%C3%93N%202021</t>
  </si>
  <si>
    <t>PA-GGISC-04-02</t>
  </si>
  <si>
    <t xml:space="preserve">Prototipado o  Implementación realizada de acuerdo a los retos y soluciones planteados </t>
  </si>
  <si>
    <t xml:space="preserve">
Desde el Grupo de Gestión de la Información y Servicio al Ciudadano - GGISC, se dio inicio con la investigación de mercados con entidades  como  INNPULSA, GRUPO N, MILAB, Minciencias y laboratorios de innovación, con el fin de ampliar la visión  con otras entidades en temas y alianzas de innovación.
• Se realizó reunión el 03 y 26 de Marzo con Francisco Sarmiento, líder del Reto Cultura Energética Colombia 2020 de la Oficina de Asuntos Ambientales y Sociales, para iniciar con la estructuración del proceso de innovación 2021 y articular esfuerzos desde el GGISC en cuanto a innovación y participación ciudadana, contemplando las fases de:
- Formulación del reto 2021
- Convocatoria
- Seminarios y Webinars
- Mentoria
- Evaluación
- Premiación
- Seguimiento
Para el reto Legal Design Thinking se realizó reunión el 23 de marzo con Leydy Soler, donde fue informado el inicio del proceso de actualización con el Mockup de la sección de Trámites y Servicios.</t>
  </si>
  <si>
    <t>Fue realizado el Anexo técnico para el proceso de innovación 2021, para  el cual  se realizaron  sesiones de trabajo para la definición del objetivo "Aunar esfuerzos técnicos, administrativos, financieros y de gestión para el desarrollo, de un proyecto de innovación abierta que involucre la participación de la ciudadanía en los retos planteados, promoviendo la generación de soluciones energéticas para las comunidades que lo requieran”
Se realizaron reuniones con  Colombia Inteligente, Grupo de Gestión de la información, Oficina de Asuntos Ambientales y Sociales, INNPULSA, Quid LAB, ruTA N los dias  6, 8, 9, 16, 19, 22, 23, 26, 29 y 30 de Abril, con el fin de entender procesos y metodologias de trabajo y alimentar el documento Anexo técnico</t>
  </si>
  <si>
    <t xml:space="preserve">Fueron realizadas reuniones los días 4, 12, 13 y 18 de mayo, entre Minenergia, CIDET, Colombia Inteligente y Fenoge, para socializar el Proyecto Comunidades Energéticas Colombia 2021 y posible involucramiento como asociados en el proyecto. Se desarrollaron los estudios Previos, definiendo la modalidad de contratación, necesidades y justificación del mismo. Fue realizado sondeo de mercado realizando la publicación en SECOP y también fueron enviadas las invitaciones a participar a las siguientes entidades: 
1. Minciencias 
2. Ruta N 
3. IDOM 
4. Corporación Enlace 
5. CIDET 
6. SUNCOLOMBIA
Enlace:https://minenergiacol-my.sharepoint.com/personal/lmmontenegro_minenergia_gov_co/_layouts/15/onedrive.aspx?FolderCTID=0x0120004E8D2DD2DE52914CB5D330BC97DD31FC&amp;id=%2Fpersonal%2Flmmontenegro%5Fminenergia%5Fgov%5Fco%2FDocuments%2F2021%2FCONTRATOS%20PRESTACION%20DE%20SERVICIOS%20PROFESIONALES%20Y%20APOYO%20A%20LA%20GESTION%2FJohn%20Alexander%20Galvis%20%20%28GGC%20192%29%2FINNOVACI%C3%93N%202021%2F0%2D%20DOCUMENTOS%20CONTRACTUAL 
 </t>
  </si>
  <si>
    <t>Se realizó reunión el día 09 de junio para seguimiento a la implementación de los proyectos asociados con el “Energy Innovation Tank” dentro de los cuales se presentan los avances de las iniciativas seleccionadas. 
1. Legal Design Thinking: Fue publicado en la pagina web del Ministerio de Minas y Energia (Meta cumplida - ).
https://www.minenergia.gov.co/en/tramites-y-servicios
2. Huella de Carbono: Se está trabajando en la finalización de la programación de la herramienta y posterior lanzamiento en julio (Meta pendiente).
https://encuestas.minenergia.gov.co:8080/</t>
  </si>
  <si>
    <t>PA-GSA-01-01</t>
  </si>
  <si>
    <t xml:space="preserve">Espacios intervenidos, porcentaje de reduccion y piezas de campañas   </t>
  </si>
  <si>
    <t xml:space="preserve">Adecuar los espacios  del MME en concordancia con la transformación cultural, espacios abiertos y coworking que promuevan el trabajo colaborativo Número de Espacios intervenidos Bimestralmente </t>
  </si>
  <si>
    <t>Fotografias</t>
  </si>
  <si>
    <t>MME</t>
  </si>
  <si>
    <t xml:space="preserve">Durante el mes de marzo se realizaron intervenciones a 5 dependencias
Asesores 1, Control interno Disciplinario, Coactivos, Participación Ciudadana, coworking carrera 50
Estos espacios fueron modificados redistribuyendo puestos de trabajo, retirando paneles divisorios, redistribuyendo sofás y retirando elementos como mesas y gavetas que generaban obstaculización de movilidad, al igual que se centralizó el espacio de impresión para los funcionarios y contratistas que hacen uso de la sede carrera 50, con la adecuación de nuevos puestos de trabajo colaborativo se optimizó el uso de los puntos de red que anteriormente no se encontraban uso, mejorando así las condiciones de estos espacios, como se ve en los archivos anexos </t>
  </si>
  <si>
    <t xml:space="preserve">Durante el primer bimestre del 2021 se realizaron intervenciones a 21 dependencias:
Asesores 2, Bid, Control interno, Contractual 2
Energía, Formalización minera, Hidrocarburos,
Minería, Nuclear, Asuntos Ambientales, Servicios administrativos, Tics, Ttthh, Contractual, Prensa, Unidad de resultados, Transformación, Jurídica, Participación, Planeación,  Regalías.
Estos espacios fueron modificados redistribuyendo puestos de trabajo, retirando paneles divisorios, redistribuyendo sofás y retirando elementos como mesas y gavetas que generaban obstaculización de movilidad, con la finalidad de que sean espacios abiertos, donde se promueva el trabajo en equipo, para esto se diseñaron espacios con equipos de escritorio y para uso de portátiles (coworking), como se ve en el archivos anexos </t>
  </si>
  <si>
    <t>Durante el mes de abril se inicio el proceso de mantenimiento y mejoramiento de pasillos y zonas comunes, este tiene como actividades resanar y pintar, este proceso va en un avance del 50%</t>
  </si>
  <si>
    <t>Se continua realziando el proceso de pintura en cual se encuentra en un avance del 60%</t>
  </si>
  <si>
    <t>Se continua realziando el proceso de pintura en cual se encuentra en un avance del 65%</t>
  </si>
  <si>
    <t>PA-GSA-01-02</t>
  </si>
  <si>
    <t>Reducir y hacer eficiente el consumo de servicios públicos, bienes y consumibles  en el Ministerio de Minas y Energía</t>
  </si>
  <si>
    <t>% de reducción</t>
  </si>
  <si>
    <t>Consumos</t>
  </si>
  <si>
    <t>GSA</t>
  </si>
  <si>
    <t xml:space="preserve">El consumo de energía eléctrica proporcionada por Enel, para el primer bimestre del año 2021 presento un ahorro del 6.2% respecto al consumo de la vigencia 2020 y de un 11.4% respecto al consumo de la vigencia 2019, debido a las condiciones climáticas del mes de marzo la generación de energía de los paneles fotovoltaicos no ha llegado a sus niveles máximos.
En el primer trimestre de 2021 se presentó un ahorro del 10.2 % respecto al consumo de la vigencia 2020 y del 20.4% respecto a la vigencia 2019, esto debido a que se continúa con la medida de contingencia por COVID 19, la variabilidad del consumo durante el mes de marzo fue de solo un 7 % comprado con el consumo del mes de febrero, lo cual indica que con una afluencia de entre 70 y 90 funcionarios al día, se espera que al finalizar la medida de contingencia por COVID 19 el aumento del consumo mensual sea de un 50% en comparación con el consumo promedio actual.  </t>
  </si>
  <si>
    <t>Con la instalación y puesta en funcionamiento de los paneles fotovoltaicos, el consumo de energía eléctrica proporcionada por Enel, para el primer bimestre del año 2021 presentó un ahorro del 4.2% respecto al consumo de la vigencia 2020 y de un 7.6% respecto al consumo de la vigencia 2019, se debe tener en cuenta que este valor puede tender a cambiar dependiendo de las condiciones climáticas. 
En el primer bimestre de 2021 se presentó un ahorro del 6.6 % respecto al consumo de la vigencia 2020 y del 13.4% respecto a la vigencia 2019, esto debido a que se continua con la medida de contingencia por COVID 19, donde la mayoría de los funcionarios están adelantando ttrabajo en casa. En el mes de marzo se espera que este valor aumente debido al piloto de retorno a la prespecialidad.</t>
  </si>
  <si>
    <t>El consumo de energía eléctrica proporcionada por Enel, para el periodo entre enero y abril del año 2021 presento un ahorro del 9% respecto al consumo de la vigencia 2020 y de un 15.5 respecto al consumo de la vigencia 2019, se observa como los días donde no se presentaron lluvias mejoro la generación de energía de los paneles.
Para el periodo de enero a abril del 2021 se presentó un ahorro del 13.4% respecto al consumo de la vigencia 2020 y del 26.5% respecto a la vigencia 2019, esto debido que se continua con la medida de contingencia por COVID 19.</t>
  </si>
  <si>
    <t>El consumo de energía eléctrica proporcionada por Enel, para el periodo entre enero y mayo del año 2021 presento un ahorro del 12.2% respecto al consumo de la vigencia 2020 y de un 20 % respecto al consumo de la vigencia 2019, se observa como los días donde no se presentaron lluvias mejoro la generación de energía de los paneles.
El consumo de agua para el periodo de enero a mayo del 2021 se presentó un ahorro del 17.6% respecto al consumo de la vigencia 2020 y del 33.5% respecto a la vigencia 2019, esto debido a que se continúa con la medida de contingencia por COVID 19.</t>
  </si>
  <si>
    <t>0,24</t>
  </si>
  <si>
    <t>El consumo de energía eléctrica proporcionada por Enel, para el periodo entre enero y junio del año 2021 presento un ahorro del 14% respecto al consumo de la vigencia 2020 y de un 23.2 % respecto al consumo de la vigencia 2019, como se tenía presupuestado
Para el periodo de enero a junio del 2021 se presentó un ahorro del 20.2% respecto al consumo de la vigencia 2020 y del 38.3% respecto a la vigencia 2019, esto debido a que se continúa con la medida de contingencia por COVID 19.</t>
  </si>
  <si>
    <t>PA-GSA-01-03</t>
  </si>
  <si>
    <t>Crear cultura de planeación y trámite de comisiones</t>
  </si>
  <si>
    <t>Campañas</t>
  </si>
  <si>
    <t>Piezas</t>
  </si>
  <si>
    <t>ESTE INDICADOR LO VAN A ELIMINAR - n espera de la solicitud</t>
  </si>
  <si>
    <t>PA-GSA-01-04</t>
  </si>
  <si>
    <t>Reduccion de huella de carbono con respecto al año base 2018 y generacion residuos ordinarios</t>
  </si>
  <si>
    <t>% de reducción de huella de carbono</t>
  </si>
  <si>
    <t>Consumos - conversiones</t>
  </si>
  <si>
    <t xml:space="preserve">Con el piloto de retorno realizado durante el mes de marzo se observó que la generación de residuos por parte de los funcionarios es mínima, esto viéndose representado en el aumento del 16% de los residuos aprovechables.
A la fecha la reducción de la huella de carbono es del 16,5%, esto teniendo en cuenta la reducción en los consumos de energía y gasolina </t>
  </si>
  <si>
    <t xml:space="preserve">Este dato será registrado en marzo, ya que debido ha que la generación de residuos a sido mínima, el servicio de recolección de residuos aprovechables se solicitará en el mes de marzo.
La reducción de la huella de carbono a la fecha es proporcional a la reducción del consumo de energía que es 4,2% </t>
  </si>
  <si>
    <t xml:space="preserve">A la fecha la reducción de la huella de carbono es del 18,1% esto teniendo en cuenta la reducción en los consumos de energía y gasolina </t>
  </si>
  <si>
    <t xml:space="preserve">Se realizo el almacenamiento temporal de los residuos peligroso tóner, en el cuarto de RAEES y RESPEL, para su próxima disposición </t>
  </si>
  <si>
    <t>Durante el me de junio no se realizo disposición de residuos solidos</t>
  </si>
  <si>
    <t>PA-STH-01-01</t>
  </si>
  <si>
    <t xml:space="preserve">Ejecución de los Planes y Programas para el desarrollo del capital Humano del Ministerio de Minas y Energía   </t>
  </si>
  <si>
    <t>Porcentaje de implementación del plan de bienestar</t>
  </si>
  <si>
    <t>Plan Estratégico de Talento Humano</t>
  </si>
  <si>
    <t>imruiz@minenergia.gov.co</t>
  </si>
  <si>
    <t xml:space="preserve">porcentaje </t>
  </si>
  <si>
    <t>Seguimiento Plan</t>
  </si>
  <si>
    <t>Subdireccion de Talento Humano</t>
  </si>
  <si>
    <t>Para este mes no corresponde avance a este indicador</t>
  </si>
  <si>
    <t>Durante el mes de marzo se realizó tramites para la consecución de recursos para el desarrollo de las actividades programadas para esta vigencia, el día 8 de marzo se realizó charla con Sylvia Escobar especial día de la mujer, 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</si>
  <si>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El día 26 de abril se llevo a cabo la celebración saludo y homenaje a las secretarias se ofrecio actividad virtual y debido a la emergencia sanitaria la actividad pesencial se programo para el mes de mayo.</t>
  </si>
  <si>
    <t xml:space="preserve">En el mes de mayo y para dar cumplimiento a la Resolución 40174 se concedio a los funcionarios un día habil para disfrutar con su grupo familiar, asi mismo se realizo la semana de la Nueva Energía y cumpleaños del MME, en donde se realizaron actividades de manera virtual y se entrego detalle a los servidores. </t>
  </si>
  <si>
    <t>Se esta en proceso de elabroación del contrato con la Caja de Compensación para la realización de las actividades del segunso semestre.</t>
  </si>
  <si>
    <t>PA-STH-01-02</t>
  </si>
  <si>
    <t>Porcentaje de implementación del Plan Institucional de Capacitación</t>
  </si>
  <si>
    <t>Subdireccion de Talentoi Humano</t>
  </si>
  <si>
    <t>En el mes de marzo se desarrollo la jornada de inducción y reinducción para todos los funcioncrios y colaboradores de la entidad, se esta desarrollando el programa de bilinguismo con tres grupos para un totsal de 24 funcionarios, se realizó el relanzamiento de la universidad de la nueva energia, se inicio el desarrollo de las capacitación de Enfoque de Género para el Sector Minero Energético y el de Integridad transparencia y Lucha contra la Corrupción.</t>
  </si>
  <si>
    <t>Durante el mes de abril se desarrollo el curso de Concientización sobre Genero, con una participación promedio de 20 servidores, igualmente el día 14 de abril se desarrollo el taller Como Comnunicarte con lenguaje inclusivo con una participación de 46 funcionarios.</t>
  </si>
  <si>
    <t>Durante el mes de mayo se desarrollo capacitación de Rendición de Cuentas Sector Minero Energetico, asi mismo se continúa desarrollando el programa de Bilingüismo para los funcionarios del Ministerio y se inicio con el curso de Redacción y Corrección de Estilo Empresarial con la participación de 50 servidoes, Igualmente se continúa con el desarrollo del curso de Integridad Transparecnia y Lucha Contra la Corrupción.</t>
  </si>
  <si>
    <t>Durante el mes de junio se realizaron las siguientes actividades ; Capacitación Nuevos Servicios de Argo, Aspectos Normativos del Derecho de Petición - Resolución 40332 del 2020, se realizo capacitación Game-Learn en desarrollo de competencias de servicio al cliente con la participación de los funcionarios de nivel asistencia, asi mismo 24 funcionarios finalizaron el primer nivel del programa de bilingüismo, durante el primer semestre se ha desarrollado el curso de Integridad Transparencia y Lucha contra la corrupción a la fecha 182 funcionarios han finalizado este curso y tres grupos han finalizado el curso de redacción y corrección de estilo empresarial, desarrollado con el CESA.</t>
  </si>
  <si>
    <t>PA-STH-01-03</t>
  </si>
  <si>
    <t>Porcentaje de ejecución del plan de Seguridad y Salud en el Trabajo</t>
  </si>
  <si>
    <t>Dentro de las actividades desarrolladas en el mes de marzo se encuentra; Webinar: COMBATIENDO EL VIRUS DEL MIEDO , Webinar: 123 DEL COVID-19,  Pausa Activa: ACTIVA TU CUERPO, Sesión de Yoga, se realizó el Seguimiento a condiciones de salud de los servidores y colaboradores por medio del reporte diario, igualmente seguimiento telefónico a casos positivos para Covid-19, afiliaciones a ARL de nuevos contratistas y programación del plan de trabajo con la fisioterapeuta.</t>
  </si>
  <si>
    <t>Durante el mes de Abril se han desarrollado las actividades para dar cumplimiento al programa de SST entre las que se incluyeron 5 Secciones para auditoría interna AON “Diagnostico Sistema de Gestión de Seguridad y Salud en el Trabajo según resolución 0312 del 2019”; Igualmente dentro del ciclo de Webinar -  #EstarBien2021 se llevaron a cabo 4 actividades así: COMBATIENDO EL VIRUS DEL MIEDO, La vida resultado de nuestras elecciones, Reconocernos y reconocer al otro desde la imperfección, La magia: situaciones al límite que nos impulsan. Se continuo con el seguimiento a condiciones de salud de los servidores y colaboradores por medio del reporte diario y la autorización de ingresos a las instalaciones del Ministerio según condiciones de salud.</t>
  </si>
  <si>
    <t>En el mes de mayo se han desarrollado distintas actividades dirigidas a prevenir el riesgo psicosocial y salud mental, habitos de vida saludable y bienstar a los funcionarios tales como; Practicas de autocuidado desde el Té Chai, Webinar La vida: resultado de nuestras elecciones “caos: como impacta mi vida y la de otros cuando elijo salir de mi zona de confort", Sesión Stretchig de espalda activa tu cuerpo, se han realizado acompañamientos psicológicos personalizados, seguimiento a condiciones de salud de los servidores y colaboradores por medio del reporte diario, entrega de kits de bioseguridad y bienestar a secretarias y conductores y seguimiento telefónico a casos positivos para Covid-19.</t>
  </si>
  <si>
    <t>Se estructura formulario para los funcionarios que van a optar por la modalidad de trabajo en casa.
Se inicia el análisis de las solicitudes de trabajo en casa con casos excepcionales
Sesión de yoga 
Sesión Stretchig de espalda activa tu cuerpo
Acompañamientos psicológicos personalizados a los funcionarios que solicitan este servicio.
Seguimiento a condiciones de salud de los servidores y colaboradores por medio del reporte diario
Autorización de ingresos a las instalaciones del Ministerio según condiciones de salud.
Se planifica las actividades e la semana de la salud integral enfocada a la salud mental
Seguimiento telefónico a casos positivos para Covid-19
Afiliaciones a ARL de nuevos contratistas</t>
  </si>
  <si>
    <t>PA-STH-01-04</t>
  </si>
  <si>
    <t>Porcentaje de implementación del Plan de Incentivos</t>
  </si>
  <si>
    <t>Mediante la circular 40004 se establecieron los lineamientos para acceder al desacanso compensado por turnos de semana santa, se ha otorgado a los funcionarios que cumplen años un día compensatorio, a través de la circular 40006 del 8 de marzo se definieron los lineamientos para el regreso parcial presencial a la entidad, contando con la tienda de la confianza y nuevos espacios y adecuaciones en la entidad.</t>
  </si>
  <si>
    <t>Se informo a los jefe sobre el día de la familia que se llevará a cabo en el mes de may, igualmente se hicieron las reuniones para el plan de incentivos de los servidores de carrera en el 2021</t>
  </si>
  <si>
    <t>Para este mes no corresponde avance a este indicador.</t>
  </si>
  <si>
    <t>Para este mes no corresponde seguimiento</t>
  </si>
  <si>
    <t>PA-STH-01-05</t>
  </si>
  <si>
    <t>Número de informes de ejecución del plan estratégico de Talento Humano</t>
  </si>
  <si>
    <t>Para este mes no corresponde avance a este indicador, el informe se elabora de manera semestral.</t>
  </si>
  <si>
    <t>El informe se desarrolla a finales del mes de junio, el avance se registra en el mes de julio.</t>
  </si>
  <si>
    <t>PA-STH-01-06</t>
  </si>
  <si>
    <t>Plan anual de vacantes elaborado</t>
  </si>
  <si>
    <t>Se encuentra elaborado y publicado el Plan Anual de vacantes</t>
  </si>
  <si>
    <t>PA-STH-01-07</t>
  </si>
  <si>
    <t>Porcentaje de novedades de personal incorporadas en el sistema para la nómina mensual dentro del plazo establecido.</t>
  </si>
  <si>
    <t>Porcentaje de novedades</t>
  </si>
  <si>
    <t>Para el mes de enero se recibieron novedades de 13 entidades las cuales se incorporaron y tramitaron oportunamente</t>
  </si>
  <si>
    <t>Durante el mes de febrero se recibieron novedades de 9 entidades las cuales se incorporaron y tramitaron oportunamente</t>
  </si>
  <si>
    <t>Durante el mes de marzo se recibieron novedades de 7 entidades las cuales se incorporaron y tramitaron oportunamente</t>
  </si>
  <si>
    <t>Durante el mes de abril se recibieron novedades de 10 entidades las cuales se incorporaron y tramitaron oportunamente</t>
  </si>
  <si>
    <t>Durante el mes de mayo se recibieron novedades de 10 entidades las cuales se incorporaron y tramitaron oportunamente</t>
  </si>
  <si>
    <t>Durante el mes de junio se recibieron novedades de 9 entidades las cuales se incorporaron y tramitaron oportunamente</t>
  </si>
  <si>
    <t>PA-STH-01-08</t>
  </si>
  <si>
    <t>Porcentaje total de solicitudes prorrogadas dentro del mes correspondiente al Grupo de pensiones y entidades liquidadas</t>
  </si>
  <si>
    <t>Porcentaje de solicitudes prorrogadas</t>
  </si>
  <si>
    <t xml:space="preserve">En el mes de enero no se prorrogó ninguna solicitud, todas se respondieron de manera oportuna </t>
  </si>
  <si>
    <t xml:space="preserve">En el mes de febrero no se prorrogó ninguna solicitud, todas se respondieron de manera oportuna </t>
  </si>
  <si>
    <t>Se prorrogo 1 solicitud, teniendo en cuenta que se debe hacer consulta de expedientes para dar respuesta a la misma</t>
  </si>
  <si>
    <t>De las 69 solicitudes atendidas  se prorrogaron 5  solicitudes, teniendo en cuenta que debido a las  medidas de protección de contagio al convid 19 - no se ha podido consultar los expedientes respectivo para dar respuesta a las mismas</t>
  </si>
  <si>
    <t>De las 53 solicitudes atendidas en el mes de mayo se prorrogaron 4 solicitudes, teniendo en cuenta que debido a las  medidas de protección de contagio al convid 19 - no se ha podido consultar los expedientes respectivos para dar respuesta a las mismas</t>
  </si>
  <si>
    <t>4,76%</t>
  </si>
  <si>
    <t>De las 84 solicitudes atendidas en el mes de junio se prorrogaron 4, teniendo en cuenta que durante el periodo señalado, no se ubicaron los soportes requeridos para dar respuesta a los requerimientos, siendo necesario programar nueva visita al archivo central, para revisar otros expedientes, la misma dentro de las condiciones actuales de disponibilidad de servicio en el archivo central, debido a las medidas de protección de contagio al Covid 19.</t>
  </si>
  <si>
    <t>PA-GTIC-01-01</t>
  </si>
  <si>
    <t>casos de uso implementados aplicando criterios de disponibilidad, calidad, oportunidad de Datos</t>
  </si>
  <si>
    <t>diyer</t>
  </si>
  <si>
    <t>caso de uso</t>
  </si>
  <si>
    <t>tablero de control</t>
  </si>
  <si>
    <t>pangea</t>
  </si>
  <si>
    <t>SICOM: Fortalecimiento reportes dashboard (BI). </t>
  </si>
  <si>
    <t>SICOM: Fortalecimiento reportes dashboard (BI). 
1. Se realizó el desarrollo de consultas para modelo de alertas de desabastecimiento.
2. Capacitación personal del nuevo personal del MME. Se realizó en dos sesiones capacitación sobre la arquitectura y solución BI desarrollada para el MME.</t>
  </si>
  <si>
    <t>TABLEROS POWER BI
SICOM
1. Se programó hacer migración de todos los tableros del dashboard al nuevo servidor de BI, para un mejor procesamiento se esta independizando dashboard de BI.
USO Y APROPIACIÓN
Tablero de Microsoft 365, fue implementada una primera versión, sin embargo, esta sujeto a modificaciones y mejoras a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COMPROMISOS POR COLOMBIA
Se trabaja en el tablero solicitado por la OAAS, donde se muestra la información relevante sobre los compromisos adquiridos por el gobierno con los municipios y departamentos del país. 
​</t>
  </si>
  <si>
    <t>TABLEROS POWER BI
SICOM
1. Se programó hacer migración de todos los tableros del dashboard al nuevo servidor de BI, para un mejor procesamiento se esta independizando dashboard de BI.
USO Y APROPIACIÓN
Tablero de Microsoft 365, fue implementada una segunda versión y no surgieron nuevas solicitudes de nuevas funcionalidades. Este tablero fue una solicitud de Secretaria General.
GESPROY
Desde el grupo de Interoperabilidad y con la base de datos GESPROY (DNP) de proyectos del Sistema General de Regalías, se ha estado trabajando en la construcción del tablero y en la automatización de la fuente de información de proyectos financiados por las reglías para cada departamento y municipio.
Se llevó a cabo el diseño y construcción del tablero en powerBI de la información traída de Gesproy, se inició la integración de la base de datos creada en Salomón como fuente de información para el tablero.​
​
COMPROMISOS POR COLOMBIA
Se trabajó en la construcción del tablero solicitado por la OAAS, donde se muestra la información relevante sobre los compromisos adquiridos por el gobierno con los municipios y departamentos del país; el cual fue entregado.
TÍTULOS MINEROS
Se está completando la migracion de datos de todos los titulos mineros.  Se tiene el 80% de los datos migrados.  Se socializó el modelo , la forma de uso y acceso a la información a los usuarios de Direccion de Minería Empresarial, se encuentran en el ejercicio de conectar los tableros que tienen desarrollados con el modelo de datos socializado.
Se encuentra lista la informacion de municipios de los títulos mineros,  minerales, y trámites de títulos mineros.</t>
  </si>
  <si>
    <t>PA-GTIC-01-02</t>
  </si>
  <si>
    <t xml:space="preserve">modelo de Gestión y Analitica de datos formulado y casos de uso implementados -  </t>
  </si>
  <si>
    <t>responsable en pae</t>
  </si>
  <si>
    <t>modelo</t>
  </si>
  <si>
    <t>unidad compartida</t>
  </si>
  <si>
    <t>Se recibieron propuestas el 12 y 19 de marzo. Y se realizaron las evaluaciones de proponentes y contratación</t>
  </si>
  <si>
    <t>Fab. 2 Se realizaron las evaluaciones de proponentes para la contratación, proceso pendiente de adjudicar y a la espera de selección de interventoría.</t>
  </si>
  <si>
    <t>* Levantamiento de requerimientos.​
Se llevaron a cabo las primeras sesiones de contextualización de levantamiento de requerimientos con Dirección de Formalización Minera e Hidrocarburos.​
* Proyecto Títulos Mineros. Se adelantó el desarrollo del API para el Web Service de Títulos Mineros, se actualizó el validador de los certificados de seguridad https de Anna Minería para el mismo. ​
* Proyecto Regalías-Gesproy. Se adelantó el desarrollo del API para el Web Service de Regalías, con carga de registros a estructura en base de datos Salomón.​</t>
  </si>
  <si>
    <t>PA-GTIC-02-01</t>
  </si>
  <si>
    <t xml:space="preserve">% procesos de Inteoperabilidad  inter-sectorial liderados e implementados   </t>
  </si>
  <si>
    <t>Modelo de interoperabilidad e integración definido y casos de uso de interoperabilidad implementados</t>
  </si>
  <si>
    <t>responsable en pae y luisa y leandro</t>
  </si>
  <si>
    <t>AS2: Mejorar la planeación y abastecimiento de combustibles​.
Release 1: (8 casos de uso) ​
Release 2: (3 casos de uso) ​
Release 3: (8 casos de uso)​
AS3: Optimizar la trazabilidad de precios y tarifas de combustibles y energía​
Release 4: 7 casos de uso​
Release 5: 7 casos de uso​
Release 6: 8 casos de uso​</t>
  </si>
  <si>
    <t>Fab 1. Se trabaja en las activididades de la AS2: Mejorar la planeación y abastecimiento de combustibles​.
-Verificación de datos y Fuentes de Información disponibles.(Entregado)
- Implementación de casos de uso para la ambición sectorial:
Release 3. (8 casos de uso). 6 casos de analitica, 2 casos de analítica avanzada (En ejecución)
-Ajustes a la operación de la ambición sectorial.(En ejecución)
AS3: Optimizar la trazabilidad de precios y tarifas de combustibles y energía​.
- Verificación de datos y Fuentes de Información disponibles (Entregado).
-  Implementación de casos de uso para la ambición sectorial. (En ejecución).
 Release 4 ( 7casos de uso). 3 casos de uso de integración, 4 de interoperabilidad.
Release 5 ( 7 casos de uso). Analitica y 2 analitica avanzada.
- Ajustes a la operación de la ambición sectorial. (En ejecución).</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</si>
  <si>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
-  Release 6. (8 casos de uso). 6 casos de analitica, 2 casos de analítica avanzada</t>
  </si>
  <si>
    <t>Se trabajó en la iniciativa S3: Optimizar la trazabilidad de precios y tarifas de combustibles y energía​. En el desarrollo de las siguientes actividades:
- Verificación de datos y Fuentes de Información disponibles
-  Implementación de casos de uso para la ambición sectorial
- Release 4 ( 7casos de uso). 3 casos de uso de integración, 4 de interoperabilidad
- Release 5 ( 7 casos de uso). Analitica y 2 analitica avanzada</t>
  </si>
  <si>
    <t>PA-GTIC-03-01</t>
  </si>
  <si>
    <t xml:space="preserve">% de optimizacion Modelo AE de TI   </t>
  </si>
  <si>
    <t>Plan de Uso y Apropiacion ajustado e implementado</t>
  </si>
  <si>
    <t>nrolvera</t>
  </si>
  <si>
    <t>capacitacion</t>
  </si>
  <si>
    <t>lista asistencia</t>
  </si>
  <si>
    <t>carpeta compartida</t>
  </si>
  <si>
    <t xml:space="preserve">Se estructuró cronograma de actividades, hitos y definicion de actividades, iniciando en el mes de abril y finalizando en junio del 2021. </t>
  </si>
  <si>
    <t>Se realizó el diagnóstico del estado actual del proyecto y se inicia el trabajo conjunto en la caracterización, formas y  proyección de formatos necesarios para la implementación de la estrategia.</t>
  </si>
  <si>
    <t>Se realizó actualización de documentación de la formulación de la estrategia de Uso y apropiación de TI, específicamente: Diagnóstico, caracterización, esquema de incentivos, Plan de comunicaciones, Plan de Gestión del Cambio, Indicadores, quedando pendiente de lanzar la encuesta para conocer las necesidades de la entidad y estructurar el plan de formación y el instrumento de formatos de implementación. Se lleva un 90 porciento de avance en la actualización de la documentación. Se espera entregar a finales de Junio.</t>
  </si>
  <si>
    <t>Se realiza presentacion de avances del documento del Plan de Formación y se tienen temáticas identificadas de fuentes. Se tiene el cornograma y el instrumento de formatos de implementación. Se encuentra en proceso de recibir los resultados de la encuesta de percepción, con una tasa de respuesta de 80 personas para su pronta tabulación.</t>
  </si>
  <si>
    <t>PA-GTIC-04-01</t>
  </si>
  <si>
    <t>Actividades de políticas de tecnologías de información implementadas</t>
  </si>
  <si>
    <t>catalogo</t>
  </si>
  <si>
    <t>Reuniones de divulgación de modelo de gobierno de TI, con las dependecias y secretaria General. Borrador sobre Oficina TIC.</t>
  </si>
  <si>
    <t xml:space="preserve">Revisión oficina jurídica:
1. Presentación para aprobación y ajustes.
2. Aprobación por parte del Ministro para publicación.
3. Publicación Resolución en el portal web como parte de la agenda regulatoria. </t>
  </si>
  <si>
    <t xml:space="preserve">Se da respuesta a comentarios dados al proyecto de Resolución por la cual se establecen los lineamientos para implementación del modelo de gobierno TI y Datos.
Revisión y visto bueno de la Oficina asesora jurídica para firma de la resolución por parte del Ministro. </t>
  </si>
  <si>
    <t>Resolución 40199 de 28 de junio de 2021 – adopción de lineamientos del  Modelo de Gobierno de TI y Modelo de Gobierno de Datos, publicada. ​
Se inicia construcción del Reglamento interno y operativo de la Comisión Estratégica de TI y de datos del sector minero energético.​
Se plantea estructuración de Lineamientos para estandarización de procesos y procedimientos de brechas comunes identificadas en las entidades del sector.</t>
  </si>
  <si>
    <t>PA-GTIC-05-01</t>
  </si>
  <si>
    <t xml:space="preserve">% ruta de Transformación Digital Facilitada tecnologicamente   </t>
  </si>
  <si>
    <t>heramientas habilitadas para relacionamiento con grupos de interes</t>
  </si>
  <si>
    <t>gaangulo</t>
  </si>
  <si>
    <t>soluciones habilitadas</t>
  </si>
  <si>
    <t>herramieenta habilitada</t>
  </si>
  <si>
    <t xml:space="preserve"> Reunión a partir de la semana del 5 de abril para validar el cargue de la información y ejecución del proyecto, así como definir los pasos a seguir para la implementación de un formulario para registro de información de actividades referentes a los entes territoriales.</t>
  </si>
  <si>
    <t>1. Reunión para validar el cargue de información y ejecución del proyecto.
2. Definir los pasos a seguir para la implementación de un formulario para registro de información de actividades referentes a los entes territoriales.</t>
  </si>
  <si>
    <t>1. Consultoría Calidad de Datos. Pendiente validar la adjudicación.
2. Gobierno sectorial: Revisión jurídica, en espera de visto bueno.
3. IDE: Se ejecutaron actividades relacionadas con la herramienta metadatos y la articulación del sistema de información geográfica. Formulación de lineamientos.
4. Banco de Infromación petrolera.
5. Integridad y Transparencia.</t>
  </si>
  <si>
    <t>1. Consultoría Calidad de Datos. Proceso adjudicado, inició hace dos semanas y se lleva a cabo sesiones de entendimiento con entidades adscritas.
2. Gobierno sectorial: Resolución Resolución 40199 de 28 de junio de 2021 .
3. IDE: Se ejecutaron actividades relacionadas con la herramienta metadatos y la articulación del sistema de información geográfica. Formulación de lineamientos.
5. Integridad y Transparencia. Por definir su implementación.</t>
  </si>
  <si>
    <t>PA-GTIC-05-02</t>
  </si>
  <si>
    <t>Porcentaje de satisfaccion en los grupos de interes</t>
  </si>
  <si>
    <t>% de grupos de interés satisfechos</t>
  </si>
  <si>
    <t>% grupos de interés</t>
  </si>
  <si>
    <t xml:space="preserve">Elaborar proyecto con base en insumos recibidos para implementar el proceso con uso de herramientas tecnológicas de 4a generación, a gran escala y con otros minerales. </t>
  </si>
  <si>
    <t>Se solicitó por parte de la oficina de asuntos ambientales y sociales y el grupo de ejecución estratégica del sector extractivo, reunión para validar el cargue de la información y ejecución del proyecto.</t>
  </si>
  <si>
    <t>Una vez validado el proyecto de CRM sectorial y las fuentes de información no se considera viable la ejecución de este proyecto o por lo menos no durante esta vigencia, dados los costos de establecimiento de proyecto, mantenimiento e implementación​.</t>
  </si>
  <si>
    <t>PA-GTIC-06-01</t>
  </si>
  <si>
    <t xml:space="preserve"> %iniciativas de otras dependencias con componente tecnologico apoyadas tecnicamente de manera efectiva   </t>
  </si>
  <si>
    <t>indice de acompañamiento efectivo a soluciones trasversales</t>
  </si>
  <si>
    <t>ganore
dromero
micardenas
jcarce
jjcedeno
osanchez
cjosorio</t>
  </si>
  <si>
    <t>acompañamientos efectivos</t>
  </si>
  <si>
    <t>listas de asistencias</t>
  </si>
  <si>
    <t xml:space="preserve"> 
SITH: Se definió una historia de usuario para generar un reporte consolidado de liquidación de impuestos por Operador, periodo y tramo. Es decir dará la posibilidad al usuario para que en un unico reporte se refleje toda la información de los tramos.
SISEG: Se envió al líder de usuarios el listado de requerimientos que componen el Producto Mínimo Viable - PMV para efectos de la ejecución de pruebas de aceptación.
El Ambiente de pruebas se encuentra desplegado a disposición de los usuarios
SICOM: Reunión  técnica de interoperablidad de fabrica y desarrollo, segunda reunion el 7 de abril para programar semana de prueabas y decirle a  fabrica desarrollo que ya pueden utilizar esa base de datos de réplica.</t>
  </si>
  <si>
    <t>SITH: Puesta en producción.
1. Se llevó a cabo el sprint 1.  Donde se hizo revisión del error en la autorización de actualización, Filtros por URL, revisión y configuración del Jaspert, Modificación de Crud para administración de tramos y se realizaron ajustes en firma digital y en liquidación=0. Se buscaba generar reportes para que cada operador de red pueda visualizar solo su información y  se desarrolló la H12 de Socicitud de Autorización por los operadores para actualización de volúmenes de tramos.
2. Salió a pruebas y despliegue.
3. Se inició con el sprit 2, con HU en Modificación del diseño del reporte de liquidación de impuestos, Eliminación de 42 registros de la B.D. Ajustes en el formato de cargue masivo de volúmenes , reporte de liquidación de impuestos, restablecimiento de contraseña y finalización de sesión.
SIGI: En producción y mejoras
Fondo de becas:
SISEG: Pruebas y despliegue:
1. Se realizaron pruebas de desarrollo del sprit 2.
Realizadas las HU para permitir generar la distribución anual  de subsidios  para operador SIN; Quitar el boton de aprobación FOES y SIN - Proceso Carga mensual y trimestral; General correo de alerta de solicitudes  y visualización de alertas - Proceso registrar operador y Proceso de distribución mensual del operdor SIN.
2. Se realizó desarrollo del Sorint 3. Con elaboración de HU para permitir la visulizar las solicitudes de extemporaneidad de forma ordenada; Visualizar solicitudes de pre-registro de los operadores; Ordenar solicitudes - Proceso carga trimestral; y Ordenar solicitudes- Proceso registrar operador.
3. Se diseñó documento de alternativas de seguridad de información para el cargue de la misma de 3 años atrás.
4. Análisis de pruebas funcionales de (21) HU del Sprint 2. Diseño de de (10) HU producto del review Sprint 2, Diseño de (10) Muckups producto del review Sprint 2.
SICOM:</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</si>
  <si>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trabajó en el diseño completo y desarollo del aplicativo.
7. Se realizan ajustes de los micrositios concurso CNSC y Transformación Cultural.
8. En producción está Fondo de Becas y DIIE. Se presentaron ajustes.
9. Herramienta de seguimiento. Se desarrolló proceso de contratación y se adjudicó a INTERCONT, dando inicio a su operación el 31 de mayo de 2021.
10. Portal Web: Se culminaron las etapas de análisis de requerimintos de las istintas secciones, se encuentra en etapa de desarrollo.</t>
  </si>
  <si>
    <t>1. SICOM: Supervisión de la ejecuión del contrato con la empresa InterNexa. En desarrollo evolutivo.
2. SISEG: Se trabajó en desarrollos y en pruebas de despliegue.
3. SITH: Se puso a pruebas de despligue y se realizaron ajustes pendientes.
4. SIGI:  Diseño completo de la V 2.0, se inició levantamiento de requerimientos.
5. Salvador. se  inició con el diseño completo de la V 2.0
6. Sigue tu Huella. Se realizó el lanzamiento del aplicativo el 1 de julio del 2021.
7. Se realizan ajustes de los micrositios concurso CNSC y Transformación Cultural.
8. En producción está Fondo de Becas y DIIE. Se presentaron ajustes.
9. AVANZAME.Se realizaron sesiones de entendimiento y alcance del sistema con las diferentes dependencias. Se envió guía de identidad visual del Ministerio para el diseño de Look And Feel del sistema.​ Se efectuó presentación funcional de la herramienta ante directores y jefes de dependencia del MME. ​
10. Portal Web: Se culminaron las etapas de análisis de requerimintos de las istintas secciones, se encuentra en etapa de desarrollo.</t>
  </si>
  <si>
    <t>PA-GTIC-07-01</t>
  </si>
  <si>
    <t xml:space="preserve">% de operación de la infraestructura del Ministerio   </t>
  </si>
  <si>
    <t>% de satisfaccion de solicitudes</t>
  </si>
  <si>
    <t xml:space="preserve">dromero
jjcedeno
gaangulo
</t>
  </si>
  <si>
    <t>Encuesta</t>
  </si>
  <si>
    <t>Carpeta Compartida</t>
  </si>
  <si>
    <t>MONITORO DE RED: Falta monitorear 4 servidores, tenemos 3 pendientes en bases de datos y programda reunión para finalizarlos.
De las app, la de reuniones efectivas ya esta lista, falta publicación.
    Sobre app de aforo se están arreglando unos errores que esta presentando con el proveedor.</t>
  </si>
  <si>
    <t>1. Se inició formateo de los equipos de computo del Ministerio, a finalizar en junio.
2. Se realizó parte de la validación del inventario de los equipos de cómputo.
3. Apoyo a los requerimietos e incidentes presentados por los funcionarios en el aplicativo ARANDA, dándoles solución. Atención CAT.
4. Se realiza el MONITOREO DE RED semanalmente, durante todo el mes de mayo.
APP de Control de Aforo. Se encuentran  terminada, se solucionó el error del codigo QR,  está pendiente de la aprobación y posteriores ajustes.</t>
  </si>
  <si>
    <t>1. Se finalizó el formateo de los equipos de computo del Ministerio, para un total de 220 computadores.
2. Se continúa con la validación del inventario de los equipos de cómputo.
3. Apoyo a los requerimietos e incidentes presentados por los funcionarios en el aplicativo ARANDA, dándoles solución. Atención CAT.
4. Se realiza el monitoreo de red semanalmente, durante todo el mes de junio.
5. Se realizó la instalación y configuración de los equipos de computo, y adecuación de los puestos de trabajo para los funcionario que regresaban al Ministerio, según los planos remitidos por Secretaría General.
6. Se realizó la instalacion del TEAMS y Office 365 masivo, en todos los equipos.
7. Se realizó la respectiva validación de las redes WIFI del Ministerio.</t>
  </si>
  <si>
    <t>PA-GTIC-08-01</t>
  </si>
  <si>
    <t xml:space="preserve">%Modelo de Seguridad y Privacidad de la informacion actualizado e implementado   </t>
  </si>
  <si>
    <t>% modulos implementados del  GRC</t>
  </si>
  <si>
    <t>osanchez
cjosorio
jcarce</t>
  </si>
  <si>
    <t>modulo GRC</t>
  </si>
  <si>
    <t xml:space="preserve"> Elaboración de fichas técnicas y estudios previos para sondeo de mercado, se lanzó el evento de cotizació para sondeo de mercado a través de SECOP II, con vencimiento al 9 de abril.  Se adelantó proceso de contratación con recursos del Préstamo BID 3594/OC-CO, suscribiéndose el Contrato GGC-560-2020. ​
Herramienta RSA ARCHER. Módulos:  Activos, Riesgos, BIA, Incidentes, Eventos, Planes, Normatividad, Cumplimiento, Balanced  score card, Arquitectura Empresarial y Ciberseguridad.​</t>
  </si>
  <si>
    <t>GRC.
- Integración completa del directorio activo de ARCHER  con las entidades del sector.​
- Ajustes y puesta a punto de operación de la sincronización del servidor principal con el servidor de respaldo.​
- Integración con el SIEM​.
- Integración Visual Paradigm​.
- Concluye cargue de datos de dispositivos, activos de información, procesos, arquitectura empresarial y dispositivos.</t>
  </si>
  <si>
    <t>GRC.
 Se realizó la validación de cargue de datos a la plataforma ARCHER por parte de las entidades adscritas al sector para: Controles de riesgos, incidencias, hallazgos y planes. La información se encuentra cargada parcialmente.
Se adelantaron sesiones de trabajo para viabilizar integración de ARCHER-SÍGAME, con la participación de Desarrollo y del Grupo de Gestión y Seguimiento Sectorial, para determinar viabilidad funcional de los servicios web expuestos en ARCHER .</t>
  </si>
  <si>
    <t>PA-GUR-01-01</t>
  </si>
  <si>
    <t>Informe de seguimiento semanal del avance y cuellos de botella de los objetivos transformacionales.</t>
  </si>
  <si>
    <t>Número de informes</t>
  </si>
  <si>
    <t>Archivos de excel</t>
  </si>
  <si>
    <t>Carpeta de Sharepoint de la UR</t>
  </si>
  <si>
    <t>Se realizó seguimiento semanal y se presentaron en comités directivos de los días lunes al señor Ministro</t>
  </si>
  <si>
    <t>Se realizó seguimiento semanal y se presentaron en comités directivos de los días lunes  y en los seguimientos semanales para seguimientos específicos con el señor Ministro</t>
  </si>
  <si>
    <t>Se realizó seguimiento semanal y se presentaron en comités directivos de los días lunes  y en los seguimientos semanales para seguimientos específicos con el señor Ministro. Se integró semáforo, % de avance por OT y general y mensaje clave semanal.</t>
  </si>
  <si>
    <t>Se realizó seguimiento semanal y se presentaron en comités directivos de los días lunes  y en los seguimientos semanales para seguimientos específicos con el señor Ministro. Se actualizaron y mejoraron los informes individuales en Power BI de las metas 100K y Misión de Transformación energética.</t>
  </si>
  <si>
    <t>PA-GUR-01-02</t>
  </si>
  <si>
    <t xml:space="preserve">Revisión y análisis de documentos técnicos estratégicos que le apunten al progreso o cumplimiento de los objetivos transformacionales. </t>
  </si>
  <si>
    <t>% de requerimientos de análisis de documentos atendidos</t>
  </si>
  <si>
    <t>Registro de análisis de documentos revisados y análizados en informe de seguimiento semanal en excel</t>
  </si>
  <si>
    <t>Durante el periodo se revisaron y analizaron todos los documentos técnicos pertinentes al cumplimiento de los objetivos transformacionales, los cuales se encuentran en detalle en el registro de la UR</t>
  </si>
  <si>
    <t>PA-GUR-01-03</t>
  </si>
  <si>
    <t>Reuniones de seguimiento y coordinación con la Alta Consejería para el Cumplimiento.</t>
  </si>
  <si>
    <t># de reuniones</t>
  </si>
  <si>
    <t>Fichas síntesis mensual de iniciativas transformacionales revisadas</t>
  </si>
  <si>
    <t>Se realizó reunión con la Alta Consejería para el Cumplimiento, cierre SIGOB 2020 revisión metas Hato Grande 2021</t>
  </si>
  <si>
    <t>Se realizó reunión con la Alta Consejería para el Cumplimiento, revisión de seguimiento hitos SIGOB enero 2021</t>
  </si>
  <si>
    <t>Se realizó reunión con la Alta Consejería para el Cumplimiento, revisión de seguimiento hitos SIGOB febrero, nuevos caminos al cumplimiento y fichas presidencia</t>
  </si>
  <si>
    <t>Se realizó reunión con la Alta Consejería para el Cumplimiento, revisión de seguimiento hitos SIGOB marzo, nuevos caminos al cumplimiento y fichas presidencia</t>
  </si>
  <si>
    <t>Se realizó reunión con la Alta Consejería para el Cumplimiento, revisión de seguimiento hitos SIGOB abril, se continúa con la revisión de nuevos caminos al cumplimiento y fichas presidencia</t>
  </si>
  <si>
    <t xml:space="preserve">Se realizaron varias reuniones con la Alta Consejería para el Cumplimiento (Mesas FNCER, Revisión Legados, SER Colombia), revisión de seguimiento hitos SIGOB junio y fichas presidente. </t>
  </si>
  <si>
    <t>PA-GUR-01-04</t>
  </si>
  <si>
    <t>Actualización en SIGOB del seguimiento al cumplimiento de los indicadores de objetivos transformacionales del sector mineroenergético.</t>
  </si>
  <si>
    <t># de actualizaciones</t>
  </si>
  <si>
    <t>Bitácora de actualizaciones mensuales en informe de seguimiento semanal y registro de actualización en SIGOB</t>
  </si>
  <si>
    <t>Se actualizó el Sistema SIGOB para todos los hitos vigentes a la fecha de corte</t>
  </si>
  <si>
    <t>Ante la actualización de los indicadores en el sistema SIGOB se reportó la información a través de las fichas del presidente.A la espera de activación por parte de Presidencia del aplicativo</t>
  </si>
  <si>
    <t>Ante la actualización de los indicadores en el sistema SIGOB se reportó la información a través de las fichas del presidente. A la espera de activación por parte de Presidencia del aplicativo</t>
  </si>
  <si>
    <t>Se habilitaron completamente los caminos actualizados de las metas correspondientes en SIGOB, a los cuales se reportó el seguimiento correspondiente al mes de junio.</t>
  </si>
  <si>
    <t>PA-GUR-01-05</t>
  </si>
  <si>
    <t>Talleres para el análisis y formulación de mejoras al seguimiento del cumplimiento de los objetivos transformacionales que realiza la UR.</t>
  </si>
  <si>
    <t># de talleres</t>
  </si>
  <si>
    <t>Actas de reunión en digital</t>
  </si>
  <si>
    <t>No aplica para el periodo</t>
  </si>
  <si>
    <t>Se realizó taller de revisión en el que se decide integral seguimientos que permitan contar con avances cuantitativos aproximados de los objetivos transformacionales y una nuevo esqueme visual para la presentación de los seguimientos.</t>
  </si>
  <si>
    <t>Informe trimestral, no aplica para el periodo</t>
  </si>
  <si>
    <t>Se realizó reunión para evaluar la implementación del nuevo tablero de seguimiento a objetivos transformacionales SOT y se definieron mejoras que se aplicarán durante el mes de julio.</t>
  </si>
  <si>
    <t>PA-GUR-01-06</t>
  </si>
  <si>
    <t>Apoyar la mejora continua de los procesos del Ministerio.</t>
  </si>
  <si>
    <t># de informes trimestrales</t>
  </si>
  <si>
    <t>- Se desarrolló herramienta en Power Bi para seguimiento de la Meta 100K de la Dirección de Energía Eléctrica
- Se apoya al equipo de gestores de consulta previa en La Guajira con la implementación de formularios para el registro único de la información y se avanza en el desarrollo de un tablero de power BI para la consulta de esta información.</t>
  </si>
  <si>
    <t>Se apoyó a los equipos de las diferentes áreas del ministerio para mejorar el consumo de la información por parte de la alta dirección, específicamente para las metas 100K, MW FNCER Instalados y Misión de Transformación Energética.</t>
  </si>
  <si>
    <t>PA-GAL-01-01</t>
  </si>
  <si>
    <t>spmunoz</t>
  </si>
  <si>
    <t>One Drive GAL</t>
  </si>
  <si>
    <t>se recibieron 18 solicitudes de informacion de Congresistas de estas  se dio respectivo tramite de respuesta a 9 pendientes 9 estan en proceso de visto bueno, para su posterior firma, radicaciòn y salida.</t>
  </si>
  <si>
    <t>se recibieron 15 solicitudes de informacion de Congresistas de estas  se dio respectivo tramite de respuesta a 12 pendientes 3 estan en proceso de visto bueno, para su posterior firma, radicaciòn y salida.</t>
  </si>
  <si>
    <t>PA-GAL-02-01</t>
  </si>
  <si>
    <t>Realizar seguimiento a los requerimientos de control Político del Congreso de la República</t>
  </si>
  <si>
    <t xml:space="preserve">En el mes de mayo se llevo los siguientes Debates de Control Político.     Debate de control Político Servicio de Energia                                            Audiencia Pùblica Prop 79 2021. Debate de Control politico  prop 13 2020. </t>
  </si>
  <si>
    <t>En el mes de mayo se llevo los siguientes Debates de Control Político.      -Debate de Control Político el Alacran
 -Debate de control Político prestación servicio de energía
 -Audiencia pública prop 45
 -Audiencia pública PL Zonas de Frontera
 -Debate de control político prop 37 “Reservas probadas de gas”
 -Sesión conjuntas PL Transición Energética
 -Audiencia pública sobre medidores inteligentes
 -Audiencia Pública seguimiento PDET</t>
  </si>
  <si>
    <t>PA-GAL-03-01</t>
  </si>
  <si>
    <t>Concepto</t>
  </si>
  <si>
    <t xml:space="preserve">En el mes de mayo se emitieron los siguientes conceptos :     PL 131 2020S - Sello de Producción  
PL 585 2021 C - Consumo básico de subsistencia
PL 422 2020 C - Alumbrado Público
PL 344 2020S - Formalización Minera
                                                                     </t>
  </si>
  <si>
    <t xml:space="preserve">En el mes de mayo se emitio un concepto  con radicado 2-2021-010257 Concepto frente a la ponencia para primer debate Proyecto de Ley 138 2020 camara                                               </t>
  </si>
  <si>
    <t>PA-OAJ-01-01</t>
  </si>
  <si>
    <t>bacubillos</t>
  </si>
  <si>
    <t>Proyecto normativo</t>
  </si>
  <si>
    <t>One drive OAL</t>
  </si>
  <si>
    <t>Durante el mes de junio  de 2021   la Oficina Asesora Jurídica, apoyo a las dependencias del MME que lo solicitaron,  en la revisión de catorce  (14) proyectos normativos, regulatorios y legislativos del sector minero energético</t>
  </si>
  <si>
    <t>PA-OAJ-02-01</t>
  </si>
  <si>
    <t xml:space="preserve">Durante el mes de junio  de 2021   la Oficina Asesora Jurídica resolvió siete (7)   solicitudes y recursos de reposición de aplazamiento de fecha de entrada en operación de proyectos sector eléctrico </t>
  </si>
  <si>
    <t>PA-OAJ-03-01</t>
  </si>
  <si>
    <t>Durante el mes de junio  de 2021   la Oficina Asesora Jurídica  no recibió solicitudes de declaración de áreas de utilidad pública e interés social proyectos eléctricos y áreas  necesarias para su construcción y protección</t>
  </si>
  <si>
    <t>PA-OAJ-04-01</t>
  </si>
  <si>
    <t>Durante el mes de enero de 2021, la Oficina Asesora Jurídica recibió tres (3) solicitudes de conceptos jurídicos y emitió dos (2) conceptos jurídicos relacionados con temas del sector minero-energético</t>
  </si>
  <si>
    <t>Durante el mes de febrero de 2021, la Oficina Asesora Jurídica recibió ocho (8) solicitudes de conceptos jurídicos y emitió siete (7) conceptos jurídicos relacionados con temas del sector minero-energético</t>
  </si>
  <si>
    <t>Durante el mes de marzo de 2021, la Oficina Asesora Jurídica recibió doce (12) solicitudes de conceptos jurídicos y emitió doce (12) conceptos jurídicos relacionados con temas del sector minero-energético</t>
  </si>
  <si>
    <t>Durante el mes de mayo de 2021, la Oficina Asesora Jurídica recibió veintiún (21) solicitudes de conceptos jurídicos y emitió veintiún (21)  conceptos jurídicos relacionados con temas del sector minero-energético</t>
  </si>
  <si>
    <t>6,64%</t>
  </si>
  <si>
    <t>Durante el mes de junio  de 2021, la Oficina Asesora Jurídica recibió treinta (30) solicitudes de conceptos jurídicos y emitió veincinco (25)  conceptos jurídicos relacionados con temas del sector minero-energético</t>
  </si>
  <si>
    <t>PA-OAJ-05-01</t>
  </si>
  <si>
    <t>Sistema de información</t>
  </si>
  <si>
    <t>Programado para diciembre 2021</t>
  </si>
  <si>
    <t>PA-OAJ-06-01</t>
  </si>
  <si>
    <t xml:space="preserve">Actuaciones procesales y extraprocesales </t>
  </si>
  <si>
    <t>Durante el mes de enero de 2021, los Grupo de Defensa y Constitucional la Oficina Asesora Jurídica realizaron cinco (5) actuaciones procesales ante los diferentes despachos judiciales</t>
  </si>
  <si>
    <t>Durante el mes de febrero de 2021, los Grupo de Defensa y Constitucional la Oficina Asesora Jurídica realizaron treinta y nueve (39) actuaciones procesales ante los diferentes despachos judiciales</t>
  </si>
  <si>
    <t>Durante el mes de marzo de 2021, los Grupo de Defensa y Constitucional la Oficina Asesora Jurídica realizaron cincuenta y cuatro (54) actuaciones procesales ante los diferentes despachos judiciales</t>
  </si>
  <si>
    <t>Durante el mes de mayo de 2021, los Grupo de Defensa y Constitucional la Oficina Asesora Jurídica realizaron setenta y seis (76) actuaciones procesales ante los diferentes despachos judiciales</t>
  </si>
  <si>
    <t>Durante el mes de junio de 2021, los Grupo de Defensa y Constitucional la Oficina Asesora Jurídica realizaron cincuenta y una (51) actuaciones procesales ante los diferentes despachos judiciales, para un total de 317 durante lo corrido de la vigencia</t>
  </si>
  <si>
    <t>PA-OAJ-07-01</t>
  </si>
  <si>
    <t>Durante el mes de enero de 2021, los los diferentes despachos judiciales emitieron dos (2)  fallos favorables a los intereses del MME</t>
  </si>
  <si>
    <t>Durante el mes de febrero de 2021, los los diferentes despachos judiciales emitieron veintitrés (23) fallos favorables a los intereses del MME</t>
  </si>
  <si>
    <t>Durante el mes de marzo de 2021, los los diferentes despachos judiciales emitieron veinticinco (25) fallos favorables a los intereses del MME</t>
  </si>
  <si>
    <t>Durante el mes de abril de 2021, los los diferentes despachos judiciales emitieron treinta y ocho  (38) fallos de los cuales tres (3) fueron desfavorables a los intereses del MME</t>
  </si>
  <si>
    <t>8,55%</t>
  </si>
  <si>
    <t>Durante el mes de junio  de 2021, los los diferentes despachos judiciales emitieron treinta y ocho  (38) fallos de los cuales tres (3) fueron desfavorables a los intereses del MME</t>
  </si>
  <si>
    <t>PA-OAJ-08-01</t>
  </si>
  <si>
    <t>Estrategia integral</t>
  </si>
  <si>
    <t>PA-OAJ-09-01</t>
  </si>
  <si>
    <t>Metodologia en implementación</t>
  </si>
  <si>
    <t>PA-OAJ-010-01</t>
  </si>
  <si>
    <t>Cuatro (4) documentos programados para marzo, junio, septiembre y noviembre</t>
  </si>
  <si>
    <t>PA-OAJ-011-01</t>
  </si>
  <si>
    <t>Documentos lineamientos técnicos</t>
  </si>
  <si>
    <t>Durante el mes de marzo de 2021 se entregaron dos (2) documetnos de lineamientos técnicos</t>
  </si>
  <si>
    <t>PA-OAJ-012-01</t>
  </si>
  <si>
    <t>Documentos revisados y actualizados del SGC</t>
  </si>
  <si>
    <t>Programado para marzo 2021</t>
  </si>
  <si>
    <t>Programado para julio 2021</t>
  </si>
  <si>
    <t>PA-OAJ-013-01</t>
  </si>
  <si>
    <t>Documentos de nómina</t>
  </si>
  <si>
    <t>METAS DE PRODUCTO</t>
  </si>
  <si>
    <t>Esperado Corte Junio</t>
  </si>
  <si>
    <t>Ejecutado Corte Junio</t>
  </si>
  <si>
    <t>Programado</t>
  </si>
  <si>
    <t>Nuevos usuarios con  FAZNI y FAER  - Compromisos recursos  Usuario 9167</t>
  </si>
  <si>
    <t>Durante el mes de junio de 2021, se registraron 335 nuevos usuarios con programas de eficiencia energética distribuídos de la siguiente manera: 88 nuevos usuarios beneficiados con programas de eficiencia energética mediante el proyecto “Usuarios beneficiados con la sustitución de neveras, A.A. y Bombillas”. Adicionalmente, se registraron 247 nuevos usuarios beneficiados con el proyecto “Caribe Eficiente”.En lo corrido de 2021, se han registrado en total 1.698 nuevos usuarios con programas de eficiencia energética distribuídos de la siguiente manera: 860 nuevos usuarios beneficiados con programas de eficiencia energética mediante el proyecto “Usuarios beneficiados con la sustitución de neveras, A.A. y Bombillas” y se registraron 838 nuevos usuarios beneficiados con el proyecto “Caribe Eficiente”</t>
  </si>
  <si>
    <t>Durante el mes de mayo solo 452 usurarios dejaron de usar leña para cocinar con cilindros de glp.
Dado que los departamentos en los que se encuentra en plan piloto de subsidios, han sido los más afectados por los bloqueos, esto ha impactado en el abastecimiento y por tanto en el acceso al servicio</t>
  </si>
  <si>
    <t>Definir el Plan de Expansión de poliductos y el Plan de Continuidad de combustibles líquidos para la ejecución oportuna de proyectos prioritarios de transporte y abastecimiento. Definir el Plan de Expansión de poliductos y el Plan de Continuidad de combustibles líquidos para la ejecución oportuna de proyectos prioritarios de transporte y abastecimiento. Así como definir la política de almacenamientos comerciales en términos de capacidad e inventario en producto</t>
  </si>
  <si>
    <t>0,01</t>
  </si>
  <si>
    <t>Lanzamiento del proceso de adjudicación de áreas estratégicas mineras realizado (cobre y fosfatos)</t>
  </si>
  <si>
    <t>En fecha 03 de mayo, vía on-line se actualizó y verificó la información correspondiente a los materiales objeto de  Salvaguardias que se encuentran en la ICGDR. Este inventario incluye las fuentes ingresadas a la instalación a partir del proyecto de consolidación.</t>
  </si>
  <si>
    <r>
      <t xml:space="preserve">En fecha 24 de mayo, se participó junto con Ministerio de Vivienda, Ciudad y Territorio, Ministerio de Ambiente y la Corporación Autónoma Regional del Alto Magdalena, en presentación de la Universidad del Huila sobre Tratamiento térmico de residuos sólidos municipales para generación híbrida en los municipios del Huila. Se recomendó replantear el proyecto analizando el marco normativo y realizar estudios de viabilidad técnica, financiera, comercial y económica, antes de volverlo a presentar.
Con destino a </t>
    </r>
    <r>
      <rPr>
        <i/>
        <sz val="9"/>
        <rFont val="Calibri"/>
        <family val="2"/>
        <scheme val="minor"/>
      </rPr>
      <t xml:space="preserve">Clean Energy Finance Investment Mobilization -CEFIM, </t>
    </r>
    <r>
      <rPr>
        <sz val="9"/>
        <rFont val="Calibri"/>
        <family val="2"/>
        <scheme val="minor"/>
      </rPr>
      <t>se emitió concepto favorable sobre proyecto “Condiciones propicias para la financiación de energías renovables: conocimiento para la bioenergía”
En fecha 18 de mayo, se participó en reunión donde el consultor contratado por el Banco Mundial, presentó la consultoría para obtener la hoja de ruta para proyectos de generación eólica Offshore</t>
    </r>
  </si>
  <si>
    <t>Se definieron los responsables y la información requerida para la reunión de la alta dirección</t>
  </si>
  <si>
    <t>Se hizo lanzamiento del aplicativo SIGAME con el modulo documental</t>
  </si>
  <si>
    <t>Se hizo lanzamiento del aplicativo SIGAME con el modulo PAA</t>
  </si>
  <si>
    <t>El reporte FURAG por parte DAFP fue entregado en el mes de mayo donde el ministerio supero la meta establecida para el 2021</t>
  </si>
  <si>
    <t>Se muestra avance la parametrización técnica de la solución informatica, actualmente se revisan las ultimas mejoras para pasar a producción</t>
  </si>
  <si>
    <t>Durante el mes de enero de 2021   la Oficina Asesora Jurídica apoyo a las dependecias del MME que lo solicitaron mediante en la revisión de seis (6) proyectos normativos, regulatorios y legislativos del sector minero energético</t>
  </si>
  <si>
    <t>Durante el mes de febrero de 2021   la Oficina Asesora Jurídica apoyo a las dependecias del MME que lo solicitaron mediante en la revisión de  un (1)  proyecto normativo, regulatorio y legislativo del sector minero energético</t>
  </si>
  <si>
    <t>Durante el mes de marzo de 2021   la Oficina Asesora Jurídica apoyo a las dependecias del MME que lo solicitaron mediante en la revisión de cinco (5) proyectos normativos, regulatorios y legislativos del sector minero energético</t>
  </si>
  <si>
    <t>Durante el mes de mayo de 2021   la Oficina Asesora Jurídica, apoyo a las dependencias del MME que lo solicitaron,  en la revisión de diecisiete  (17) proyectos normativos, regulatorios y legislativos del sector minero energético</t>
  </si>
  <si>
    <t xml:space="preserve">Durante el mes de enero de 2021   la Oficina Asesora Jurídica no resolvió    solicitudes y recursos de reposición de aplazamiento de fecha de entrada en operación de proyectos sector eléctrico </t>
  </si>
  <si>
    <t xml:space="preserve">Durante el mes de febrero de 2021   la Oficina Asesora Jurídica no resolvió    solicitudes y recursos de reposición de aplazamiento de fecha de entrada en operación de proyectos sector eléctrico </t>
  </si>
  <si>
    <t xml:space="preserve">Durante el mes de marzo de 2021   la Oficina Asesora Jurídica resolvió ocho (8)   solicitudes y recursos de reposición de aplazamiento de fecha de entrada en operación de proyectos sector eléctrico </t>
  </si>
  <si>
    <t xml:space="preserve">Durante el mes de mayo de 2021   la Oficina Asesora Jurídica resolvió seis (6)   solicitudes y recursos de reposición de aplazamiento de fecha de entrada en operación de proyectos sector eléctrico </t>
  </si>
  <si>
    <t>Durante el mes de enero de 2021   la Oficina Asesora Jurídica  resolvió  una (1)  solicitud de declaración de áreas de utilidad pública e interés social proyectos eléctricos y áreas  necesarias para su construcción y protección</t>
  </si>
  <si>
    <t>Durante el mes de febrero de 2021   la Oficina Asesora Jurídica no resolvió solicitudes de declaración de áreas de utilidad pública e interés social proyectos eléctricos y áreas  necesarias para su construcción y protección</t>
  </si>
  <si>
    <t>Durante el mes de marzo de 2021   la Oficina Asesora Jurídica  resolvió cuatro (4) solicitudes de declaración de áreas de utilidad pública e interés social proyectos eléctricos y áreas  necesarias para su construcción y protección</t>
  </si>
  <si>
    <t>Durante el mes de mayo de 2021   la Oficina Asesora Jurídica  resolvió dos (2) solicitudes de declaración de áreas de utilidad pública e interés social proyectos eléctricos y áreas  necesarias para su construcción y protección</t>
  </si>
  <si>
    <t>Clasificadores</t>
  </si>
  <si>
    <t>Plan Anual de Vacantes</t>
  </si>
  <si>
    <t>Plan de Previsión de Recursos Humanos</t>
  </si>
  <si>
    <t>Plan Institucional de Capacitación</t>
  </si>
  <si>
    <t>Plan de Incentivos Institucionales</t>
  </si>
  <si>
    <t>Plan de Trabajo Anual en Seguridad y Salud en el Trabajo</t>
  </si>
  <si>
    <t>Plan Anticorrupción y de Atención al Ciudadano</t>
  </si>
  <si>
    <t>Plan de Tratamiento de Riesgos de Seguridad y Privacidad de la Información</t>
  </si>
  <si>
    <t>Avance Dependencia</t>
  </si>
  <si>
    <t>Ministerio de Minas y Energía
 Seguimiento Plan de Acción      
Segundo Trimestre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</si>
</sst>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0%"/>
    <numFmt numFmtId="166" formatCode="0.000"/>
  </numFmts>
  <fonts count="57">
    <font>
      <sz val="11"/>
      <color theme="1"/>
      <name val="Calibri"/>
      <family val="2"/>
      <scheme val="minor"/>
    </font>
    <font>
      <sz val="11"/>
      <color theme="1" tint="0.249977111117893"/>
      <name val="Calibri"/>
      <family val="2"/>
      <scheme val="minor"/>
    </font>
    <font>
      <sz val="11"/>
      <color theme="1" tint="0.499984740745262"/>
      <name val="Calibri"/>
      <family val="2"/>
      <scheme val="minor"/>
    </font>
    <font>
      <sz val="18"/>
      <color theme="0" tint="-4.9989318521683403E-2"/>
      <name val="Calibri"/>
      <family val="2"/>
      <scheme val="minor"/>
    </font>
    <font>
      <sz val="18"/>
      <color theme="0"/>
      <name val="Calibri"/>
      <family val="2"/>
      <scheme val="minor"/>
    </font>
    <font>
      <sz val="9"/>
      <color theme="1" tint="0.34998626667073579"/>
      <name val="Calibri"/>
      <family val="2"/>
      <scheme val="minor"/>
    </font>
    <font>
      <sz val="8"/>
      <color theme="1" tint="0.34998626667073579"/>
      <name val="Calibri"/>
      <family val="2"/>
      <scheme val="minor"/>
    </font>
    <font>
      <sz val="10"/>
      <color theme="0"/>
      <name val="Calibri"/>
      <family val="2"/>
      <scheme val="minor"/>
    </font>
    <font>
      <sz val="10"/>
      <color theme="1" tint="0.34998626667073579"/>
      <name val="Calibri"/>
      <family val="2"/>
      <scheme val="minor"/>
    </font>
    <font>
      <b/>
      <sz val="7"/>
      <color theme="0"/>
      <name val="Arial"/>
      <family val="2"/>
    </font>
    <font>
      <b/>
      <sz val="8"/>
      <color theme="1" tint="0.34998626667073579"/>
      <name val="Calibri"/>
      <family val="2"/>
      <scheme val="minor"/>
    </font>
    <font>
      <sz val="9"/>
      <color theme="1"/>
      <name val="Calibri"/>
      <family val="2"/>
      <scheme val="minor"/>
    </font>
    <font>
      <b/>
      <sz val="10"/>
      <color theme="0"/>
      <name val="Calibri"/>
      <family val="2"/>
      <scheme val="minor"/>
    </font>
    <font>
      <b/>
      <sz val="12"/>
      <color theme="0"/>
      <name val="Calibri"/>
      <family val="2"/>
      <scheme val="minor"/>
    </font>
    <font>
      <sz val="11"/>
      <color rgb="FFFF0000"/>
      <name val="Calibri"/>
      <family val="2"/>
      <scheme val="minor"/>
    </font>
    <font>
      <sz val="11"/>
      <name val="Calibri"/>
      <family val="2"/>
      <scheme val="minor"/>
    </font>
    <font>
      <b/>
      <sz val="11"/>
      <name val="Calibri"/>
      <family val="2"/>
      <scheme val="minor"/>
    </font>
    <font>
      <sz val="9"/>
      <name val="Calibri"/>
      <family val="2"/>
      <scheme val="minor"/>
    </font>
    <font>
      <sz val="11"/>
      <color theme="1"/>
      <name val="Calibri"/>
      <family val="2"/>
      <scheme val="minor"/>
    </font>
    <font>
      <b/>
      <sz val="11"/>
      <color theme="1"/>
      <name val="Calibri"/>
      <family val="2"/>
      <scheme val="minor"/>
    </font>
    <font>
      <sz val="9"/>
      <color rgb="FF000000"/>
      <name val="Calibri"/>
      <family val="2"/>
    </font>
    <font>
      <u/>
      <sz val="9"/>
      <name val="Calibri"/>
      <family val="2"/>
      <scheme val="minor"/>
    </font>
    <font>
      <sz val="10"/>
      <name val="Calibri"/>
      <family val="2"/>
      <scheme val="minor"/>
    </font>
    <font>
      <b/>
      <sz val="11"/>
      <color theme="0"/>
      <name val="Calibri"/>
      <family val="2"/>
      <scheme val="minor"/>
    </font>
    <font>
      <sz val="8"/>
      <name val="Calibri"/>
      <family val="2"/>
      <scheme val="minor"/>
    </font>
    <font>
      <sz val="9"/>
      <name val="Calibri"/>
      <family val="2"/>
    </font>
    <font>
      <b/>
      <sz val="9"/>
      <name val="Calibri"/>
      <family val="2"/>
      <scheme val="minor"/>
    </font>
    <font>
      <sz val="8"/>
      <name val="Calibri"/>
      <family val="2"/>
    </font>
    <font>
      <sz val="11"/>
      <name val="Calibri"/>
      <family val="2"/>
      <charset val="1"/>
    </font>
    <font>
      <sz val="9"/>
      <name val="Calibri"/>
      <family val="2"/>
      <charset val="1"/>
    </font>
    <font>
      <sz val="8"/>
      <name val="Work Sans"/>
      <family val="3"/>
    </font>
    <font>
      <sz val="11"/>
      <name val="Calibri"/>
      <family val="2"/>
    </font>
    <font>
      <sz val="11"/>
      <color rgb="FF595959"/>
      <name val="Calibri Light"/>
      <family val="2"/>
    </font>
    <font>
      <sz val="10"/>
      <color theme="1"/>
      <name val="Calibri"/>
      <family val="2"/>
      <scheme val="minor"/>
    </font>
    <font>
      <sz val="9"/>
      <color rgb="FFFF0000"/>
      <name val="Calibri"/>
      <family val="2"/>
      <scheme val="minor"/>
    </font>
    <font>
      <sz val="11"/>
      <color rgb="FF000000"/>
      <name val="Calibri"/>
      <family val="2"/>
    </font>
    <font>
      <sz val="9"/>
      <color rgb="FFFF0000"/>
      <name val="Calibri"/>
      <family val="2"/>
    </font>
    <font>
      <b/>
      <sz val="9"/>
      <color rgb="FFFF0000"/>
      <name val="Calibri"/>
      <family val="2"/>
      <scheme val="minor"/>
    </font>
    <font>
      <sz val="8"/>
      <color rgb="FF000000"/>
      <name val="Calibri"/>
      <family val="2"/>
      <scheme val="minor"/>
    </font>
    <font>
      <sz val="11"/>
      <color rgb="FFFF0000"/>
      <name val="Calibri"/>
      <family val="2"/>
    </font>
    <font>
      <sz val="8"/>
      <color rgb="FF000000"/>
      <name val="Work Sans"/>
      <family val="3"/>
    </font>
    <font>
      <sz val="9"/>
      <name val="Calibri (Cuerpo)"/>
    </font>
    <font>
      <i/>
      <sz val="9"/>
      <name val="Calibri"/>
      <family val="2"/>
      <charset val="1"/>
    </font>
    <font>
      <sz val="14"/>
      <color rgb="FF000000"/>
      <name val="Calibri"/>
      <family val="2"/>
    </font>
    <font>
      <sz val="16"/>
      <color rgb="FF000000"/>
      <name val="Calibri"/>
      <family val="2"/>
    </font>
    <font>
      <sz val="11"/>
      <color rgb="FF000000"/>
      <name val="Arial"/>
      <family val="2"/>
    </font>
    <font>
      <sz val="18"/>
      <name val="Calibri"/>
      <family val="2"/>
      <scheme val="minor"/>
    </font>
    <font>
      <sz val="11"/>
      <name val="Calibri Light"/>
      <family val="2"/>
    </font>
    <font>
      <sz val="14"/>
      <name val="Calibri"/>
      <family val="2"/>
    </font>
    <font>
      <sz val="16"/>
      <name val="Calibri"/>
      <family val="2"/>
    </font>
    <font>
      <b/>
      <sz val="8"/>
      <name val="Work Sans"/>
      <family val="3"/>
    </font>
    <font>
      <b/>
      <sz val="7"/>
      <color rgb="FF000000"/>
      <name val="Arial"/>
      <family val="2"/>
    </font>
    <font>
      <i/>
      <sz val="9"/>
      <name val="Calibri"/>
      <family val="2"/>
      <scheme val="minor"/>
    </font>
    <font>
      <b/>
      <sz val="7"/>
      <color theme="1" tint="0.34998626667073579"/>
      <name val="Calibri"/>
      <family val="2"/>
      <scheme val="minor"/>
    </font>
    <font>
      <b/>
      <sz val="10"/>
      <name val="Calibri"/>
      <family val="2"/>
      <scheme val="minor"/>
    </font>
    <font>
      <b/>
      <sz val="20"/>
      <color rgb="FF002060"/>
      <name val="Calibri"/>
      <family val="2"/>
      <scheme val="minor"/>
    </font>
    <font>
      <sz val="9"/>
      <color rgb="FF002060"/>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rgb="FF002060"/>
        <bgColor indexed="64"/>
      </patternFill>
    </fill>
    <fill>
      <patternFill patternType="solid">
        <fgColor rgb="FFFFC000"/>
        <bgColor indexed="64"/>
      </patternFill>
    </fill>
    <fill>
      <patternFill patternType="solid">
        <fgColor rgb="FFFFFFFF"/>
        <bgColor indexed="64"/>
      </patternFill>
    </fill>
    <fill>
      <patternFill patternType="solid">
        <fgColor theme="8" tint="0.79998168889431442"/>
        <bgColor indexed="64"/>
      </patternFill>
    </fill>
    <fill>
      <patternFill patternType="solid">
        <fgColor rgb="FFED7D31"/>
        <bgColor indexed="64"/>
      </patternFill>
    </fill>
    <fill>
      <patternFill patternType="solid">
        <fgColor rgb="FFE2EFDA"/>
        <bgColor indexed="64"/>
      </patternFill>
    </fill>
    <fill>
      <patternFill patternType="solid">
        <fgColor rgb="FFDDEBF7"/>
        <bgColor indexed="64"/>
      </patternFill>
    </fill>
    <fill>
      <patternFill patternType="solid">
        <fgColor theme="8" tint="0.79998168889431442"/>
        <bgColor rgb="FF000000"/>
      </patternFill>
    </fill>
    <fill>
      <patternFill patternType="solid">
        <fgColor rgb="FFBDD7EE"/>
        <bgColor rgb="FF000000"/>
      </patternFill>
    </fill>
    <fill>
      <patternFill patternType="solid">
        <fgColor rgb="FFDDEBF7"/>
        <bgColor rgb="FF000000"/>
      </patternFill>
    </fill>
    <fill>
      <patternFill patternType="solid">
        <fgColor rgb="FFED7D31"/>
        <bgColor rgb="FF000000"/>
      </patternFill>
    </fill>
    <fill>
      <patternFill patternType="solid">
        <fgColor rgb="FFD9E1F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bgColor rgb="FF000000"/>
      </patternFill>
    </fill>
    <fill>
      <patternFill patternType="solid">
        <fgColor theme="4" tint="0.79998168889431442"/>
        <bgColor rgb="FF000000"/>
      </patternFill>
    </fill>
    <fill>
      <patternFill patternType="solid">
        <fgColor theme="0"/>
        <bgColor rgb="FFDDEBF7"/>
      </patternFill>
    </fill>
    <fill>
      <patternFill patternType="solid">
        <fgColor theme="0"/>
        <bgColor rgb="FFFFFFFF"/>
      </patternFill>
    </fill>
    <fill>
      <patternFill patternType="solid">
        <fgColor theme="4" tint="0.39997558519241921"/>
        <bgColor indexed="64"/>
      </patternFill>
    </fill>
  </fills>
  <borders count="4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theme="0" tint="-0.14999847407452621"/>
      </right>
      <top style="thin">
        <color theme="0" tint="-0.14999847407452621"/>
      </top>
      <bottom style="thin">
        <color theme="0" tint="-0.14999847407452621"/>
      </bottom>
      <diagonal/>
    </border>
    <border>
      <left/>
      <right style="thin">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F2F2F2"/>
      </left>
      <right style="thin">
        <color rgb="FFF2F2F2"/>
      </right>
      <top style="thin">
        <color rgb="FFF2F2F2"/>
      </top>
      <bottom/>
      <diagonal/>
    </border>
    <border>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758">
    <xf numFmtId="0" fontId="0" fillId="0" borderId="0" xfId="0"/>
    <xf numFmtId="14" fontId="0" fillId="0" borderId="0" xfId="0" applyNumberFormat="1"/>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9" fillId="6" borderId="0" xfId="0" applyFont="1" applyFill="1" applyAlignment="1">
      <alignment horizontal="center"/>
    </xf>
    <xf numFmtId="0" fontId="11" fillId="0" borderId="3" xfId="0" applyFont="1" applyBorder="1" applyAlignment="1">
      <alignment horizontal="center" vertical="center" wrapText="1"/>
    </xf>
    <xf numFmtId="0" fontId="4" fillId="3" borderId="4" xfId="0" applyFont="1" applyFill="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15" fillId="0" borderId="0" xfId="0" applyFont="1"/>
    <xf numFmtId="0" fontId="15" fillId="0" borderId="0" xfId="0" applyFont="1" applyAlignment="1">
      <alignment horizontal="center" vertical="center"/>
    </xf>
    <xf numFmtId="0" fontId="8" fillId="4" borderId="8"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7" borderId="8"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4" borderId="8" xfId="0" applyFont="1" applyFill="1" applyBorder="1" applyAlignment="1">
      <alignment horizontal="center" vertical="center"/>
    </xf>
    <xf numFmtId="0" fontId="22" fillId="11" borderId="8" xfId="0" applyFont="1" applyFill="1" applyBorder="1" applyAlignment="1">
      <alignment horizontal="center" vertical="center" wrapText="1"/>
    </xf>
    <xf numFmtId="10" fontId="0" fillId="0" borderId="2" xfId="0" applyNumberFormat="1" applyBorder="1" applyAlignment="1">
      <alignment horizontal="center" vertical="center" wrapText="1"/>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10" fontId="19" fillId="0" borderId="2" xfId="0" applyNumberFormat="1" applyFont="1" applyBorder="1" applyAlignment="1">
      <alignment horizontal="center" vertical="center" wrapText="1"/>
    </xf>
    <xf numFmtId="0" fontId="19" fillId="0" borderId="0" xfId="0" applyFont="1" applyAlignment="1">
      <alignment horizontal="center"/>
    </xf>
    <xf numFmtId="0" fontId="19" fillId="0" borderId="2" xfId="0" applyFont="1" applyBorder="1" applyAlignment="1">
      <alignment horizontal="center" vertical="center"/>
    </xf>
    <xf numFmtId="0" fontId="0" fillId="0" borderId="2" xfId="0" applyBorder="1" applyAlignment="1">
      <alignment horizontal="center"/>
    </xf>
    <xf numFmtId="0" fontId="1" fillId="0" borderId="29" xfId="0" applyFont="1" applyBorder="1" applyAlignment="1">
      <alignment horizontal="center" vertical="center" wrapText="1"/>
    </xf>
    <xf numFmtId="0" fontId="11" fillId="0" borderId="4" xfId="0" applyFont="1" applyBorder="1" applyAlignment="1">
      <alignment horizontal="center" vertical="center" wrapText="1"/>
    </xf>
    <xf numFmtId="49" fontId="9" fillId="9" borderId="8"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0" fillId="13" borderId="2" xfId="0" applyFill="1" applyBorder="1" applyAlignment="1">
      <alignment horizontal="center" wrapText="1"/>
    </xf>
    <xf numFmtId="0" fontId="20" fillId="0" borderId="8" xfId="0" applyFont="1" applyBorder="1" applyAlignment="1">
      <alignment horizontal="center" vertical="center" wrapText="1"/>
    </xf>
    <xf numFmtId="0" fontId="4" fillId="3" borderId="5" xfId="0" applyFont="1" applyFill="1" applyBorder="1" applyAlignment="1">
      <alignment horizontal="center" vertical="center"/>
    </xf>
    <xf numFmtId="0" fontId="0" fillId="2" borderId="0" xfId="0" applyFill="1" applyAlignment="1">
      <alignment horizontal="center" vertical="center"/>
    </xf>
    <xf numFmtId="0" fontId="0" fillId="10" borderId="0" xfId="0" applyFill="1" applyAlignment="1">
      <alignment horizontal="center" vertical="center"/>
    </xf>
    <xf numFmtId="0" fontId="15" fillId="0" borderId="4" xfId="0" applyFont="1" applyBorder="1" applyAlignment="1">
      <alignment horizontal="center" vertical="center" wrapText="1"/>
    </xf>
    <xf numFmtId="14" fontId="17" fillId="0" borderId="17" xfId="0" applyNumberFormat="1"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19" xfId="0" applyNumberFormat="1" applyFont="1" applyBorder="1" applyAlignment="1">
      <alignment horizontal="center" vertical="center" wrapText="1"/>
    </xf>
    <xf numFmtId="14" fontId="17" fillId="6" borderId="2"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14" fontId="17"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10" fontId="17" fillId="0" borderId="2"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9" fontId="17" fillId="0" borderId="2" xfId="0" applyNumberFormat="1" applyFont="1" applyBorder="1" applyAlignment="1">
      <alignment horizontal="center" vertical="center" wrapText="1"/>
    </xf>
    <xf numFmtId="0" fontId="15" fillId="0" borderId="20" xfId="0" applyFont="1" applyBorder="1" applyAlignment="1">
      <alignment horizontal="center" vertical="center" wrapText="1"/>
    </xf>
    <xf numFmtId="0" fontId="25" fillId="0" borderId="2" xfId="0" applyFont="1" applyBorder="1" applyAlignment="1">
      <alignment horizontal="center" vertical="center" wrapText="1"/>
    </xf>
    <xf numFmtId="0" fontId="15" fillId="0" borderId="27" xfId="0" applyFont="1" applyBorder="1" applyAlignment="1">
      <alignment horizontal="center" vertical="center" wrapText="1"/>
    </xf>
    <xf numFmtId="9" fontId="17" fillId="0" borderId="8" xfId="0" applyNumberFormat="1" applyFont="1" applyBorder="1" applyAlignment="1">
      <alignment horizontal="center" vertical="center" wrapText="1"/>
    </xf>
    <xf numFmtId="0" fontId="25" fillId="0" borderId="17" xfId="0" applyFont="1" applyBorder="1" applyAlignment="1">
      <alignment horizontal="center" vertical="center" wrapText="1"/>
    </xf>
    <xf numFmtId="0" fontId="17" fillId="14" borderId="2" xfId="0" applyFont="1" applyFill="1" applyBorder="1" applyAlignment="1">
      <alignment horizontal="center" vertical="center" wrapText="1"/>
    </xf>
    <xf numFmtId="164" fontId="0" fillId="13" borderId="6" xfId="0" applyNumberFormat="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xf>
    <xf numFmtId="14" fontId="17" fillId="15" borderId="2" xfId="0" applyNumberFormat="1"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5" fillId="15" borderId="2" xfId="0" applyFont="1" applyFill="1" applyBorder="1" applyAlignment="1">
      <alignment horizontal="center" vertical="center" wrapText="1"/>
    </xf>
    <xf numFmtId="9" fontId="25" fillId="15" borderId="2" xfId="0" applyNumberFormat="1" applyFont="1" applyFill="1" applyBorder="1" applyAlignment="1">
      <alignment horizontal="center" vertical="center" wrapText="1"/>
    </xf>
    <xf numFmtId="9" fontId="17" fillId="15" borderId="2" xfId="0" applyNumberFormat="1" applyFont="1" applyFill="1" applyBorder="1" applyAlignment="1">
      <alignment horizontal="center" vertical="center" wrapText="1"/>
    </xf>
    <xf numFmtId="14" fontId="17" fillId="15" borderId="8" xfId="0" applyNumberFormat="1" applyFont="1" applyFill="1" applyBorder="1" applyAlignment="1">
      <alignment horizontal="center" vertical="center" wrapText="1"/>
    </xf>
    <xf numFmtId="9" fontId="17" fillId="15" borderId="8" xfId="0" applyNumberFormat="1"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2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7" fillId="6" borderId="17" xfId="0" applyFont="1" applyFill="1" applyBorder="1" applyAlignment="1">
      <alignment horizontal="center" vertical="center" wrapText="1"/>
    </xf>
    <xf numFmtId="14" fontId="17" fillId="6" borderId="17" xfId="0" applyNumberFormat="1"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22" xfId="0" applyFont="1" applyFill="1" applyBorder="1" applyAlignment="1">
      <alignment horizontal="center" vertical="center" wrapText="1"/>
    </xf>
    <xf numFmtId="10" fontId="17" fillId="15" borderId="2" xfId="0" applyNumberFormat="1" applyFont="1" applyFill="1" applyBorder="1" applyAlignment="1">
      <alignment horizontal="center" vertical="center" wrapText="1"/>
    </xf>
    <xf numFmtId="14" fontId="17" fillId="15" borderId="17" xfId="0" applyNumberFormat="1"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6" fillId="15" borderId="17" xfId="0" applyFont="1" applyFill="1" applyBorder="1" applyAlignment="1">
      <alignment horizontal="center" vertical="center" wrapText="1"/>
    </xf>
    <xf numFmtId="0" fontId="26" fillId="15" borderId="2" xfId="0" applyFont="1" applyFill="1" applyBorder="1" applyAlignment="1">
      <alignment horizontal="center" vertical="center" wrapText="1"/>
    </xf>
    <xf numFmtId="0" fontId="25" fillId="15" borderId="17" xfId="0" applyFont="1" applyFill="1" applyBorder="1" applyAlignment="1">
      <alignment horizontal="center" vertical="center" wrapText="1"/>
    </xf>
    <xf numFmtId="9" fontId="17" fillId="15" borderId="17" xfId="0" applyNumberFormat="1" applyFont="1" applyFill="1" applyBorder="1" applyAlignment="1">
      <alignment horizontal="center" vertical="center" wrapText="1"/>
    </xf>
    <xf numFmtId="9" fontId="17" fillId="6" borderId="2" xfId="0" applyNumberFormat="1"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7" xfId="0" applyFont="1" applyFill="1" applyBorder="1" applyAlignment="1">
      <alignment horizontal="center" vertical="center" wrapText="1"/>
    </xf>
    <xf numFmtId="10" fontId="25" fillId="15" borderId="2" xfId="0" applyNumberFormat="1" applyFont="1" applyFill="1" applyBorder="1" applyAlignment="1">
      <alignment horizontal="center" vertical="center" wrapText="1"/>
    </xf>
    <xf numFmtId="0" fontId="0" fillId="15" borderId="4" xfId="0" applyFill="1" applyBorder="1" applyAlignment="1">
      <alignment horizontal="center" vertical="center" wrapText="1"/>
    </xf>
    <xf numFmtId="0" fontId="0" fillId="15" borderId="12" xfId="0" applyFill="1" applyBorder="1" applyAlignment="1">
      <alignment horizontal="center" wrapText="1"/>
    </xf>
    <xf numFmtId="0" fontId="0" fillId="15" borderId="2" xfId="0" applyFill="1" applyBorder="1" applyAlignment="1">
      <alignment horizontal="center" wrapText="1"/>
    </xf>
    <xf numFmtId="0" fontId="0" fillId="15" borderId="17" xfId="0" applyFill="1" applyBorder="1"/>
    <xf numFmtId="0" fontId="0" fillId="15" borderId="2" xfId="0" applyFill="1" applyBorder="1"/>
    <xf numFmtId="0" fontId="17" fillId="16" borderId="2" xfId="0" applyFont="1" applyFill="1" applyBorder="1" applyAlignment="1">
      <alignment horizontal="center" vertical="center" wrapText="1"/>
    </xf>
    <xf numFmtId="0" fontId="0" fillId="15" borderId="8" xfId="0" applyFill="1" applyBorder="1"/>
    <xf numFmtId="0" fontId="0" fillId="2" borderId="2" xfId="0" applyFill="1" applyBorder="1" applyAlignment="1">
      <alignment horizontal="center" vertical="center"/>
    </xf>
    <xf numFmtId="0" fontId="15" fillId="0" borderId="12" xfId="0" applyFont="1"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xf>
    <xf numFmtId="0" fontId="0" fillId="2" borderId="19" xfId="0" applyFill="1" applyBorder="1" applyAlignment="1">
      <alignment horizontal="center" vertical="center"/>
    </xf>
    <xf numFmtId="0" fontId="11" fillId="17" borderId="32"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17" borderId="33" xfId="0" applyFont="1" applyFill="1" applyBorder="1" applyAlignment="1">
      <alignment horizontal="center" vertical="center" wrapText="1"/>
    </xf>
    <xf numFmtId="0" fontId="0" fillId="0" borderId="17" xfId="0" applyBorder="1" applyAlignment="1">
      <alignment horizontal="center" vertical="center" wrapText="1"/>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0" fillId="10" borderId="0" xfId="0" applyFill="1"/>
    <xf numFmtId="0" fontId="4" fillId="10" borderId="5" xfId="0" applyFont="1" applyFill="1" applyBorder="1" applyAlignment="1">
      <alignment vertical="center"/>
    </xf>
    <xf numFmtId="0" fontId="10" fillId="10" borderId="8" xfId="0" applyFont="1" applyFill="1" applyBorder="1" applyAlignment="1">
      <alignment horizontal="center" vertical="center"/>
    </xf>
    <xf numFmtId="0" fontId="4" fillId="18" borderId="5" xfId="0" applyFont="1" applyFill="1" applyBorder="1" applyAlignment="1">
      <alignment vertical="center"/>
    </xf>
    <xf numFmtId="9" fontId="25" fillId="0" borderId="2" xfId="0" applyNumberFormat="1" applyFont="1" applyBorder="1" applyAlignment="1">
      <alignment horizontal="center" vertical="center" wrapText="1"/>
    </xf>
    <xf numFmtId="9" fontId="25" fillId="0" borderId="17" xfId="0" applyNumberFormat="1" applyFont="1" applyBorder="1" applyAlignment="1">
      <alignment horizontal="center" vertical="center" wrapText="1"/>
    </xf>
    <xf numFmtId="0" fontId="29" fillId="6" borderId="2" xfId="0" applyFont="1" applyFill="1" applyBorder="1" applyAlignment="1">
      <alignment horizontal="center" vertical="center" wrapText="1"/>
    </xf>
    <xf numFmtId="0" fontId="20" fillId="15" borderId="17" xfId="0" applyFont="1" applyFill="1" applyBorder="1" applyAlignment="1">
      <alignment horizontal="center" vertical="center" wrapText="1"/>
    </xf>
    <xf numFmtId="0" fontId="20" fillId="15" borderId="2" xfId="0" applyFont="1" applyFill="1" applyBorder="1" applyAlignment="1">
      <alignment horizontal="center" vertical="center" wrapText="1"/>
    </xf>
    <xf numFmtId="0" fontId="30" fillId="15" borderId="17" xfId="0" applyFont="1" applyFill="1" applyBorder="1" applyAlignment="1">
      <alignment horizontal="center" vertical="center" wrapText="1"/>
    </xf>
    <xf numFmtId="0" fontId="30" fillId="15" borderId="2" xfId="0" applyFont="1" applyFill="1" applyBorder="1" applyAlignment="1">
      <alignment horizontal="center" vertical="center" wrapText="1"/>
    </xf>
    <xf numFmtId="1" fontId="17" fillId="15" borderId="2" xfId="0" applyNumberFormat="1" applyFont="1" applyFill="1" applyBorder="1" applyAlignment="1">
      <alignment horizontal="center" vertical="center" wrapText="1"/>
    </xf>
    <xf numFmtId="9" fontId="0" fillId="0" borderId="2" xfId="0" applyNumberFormat="1" applyBorder="1" applyAlignment="1">
      <alignment horizontal="center" vertical="center" wrapText="1"/>
    </xf>
    <xf numFmtId="0" fontId="20" fillId="0" borderId="17" xfId="0" applyFont="1" applyBorder="1" applyAlignment="1">
      <alignment horizontal="center" vertical="center" wrapText="1"/>
    </xf>
    <xf numFmtId="9" fontId="17" fillId="0" borderId="17" xfId="0" applyNumberFormat="1" applyFont="1" applyBorder="1" applyAlignment="1">
      <alignment horizontal="center" vertical="center" wrapText="1"/>
    </xf>
    <xf numFmtId="10" fontId="25" fillId="0" borderId="8" xfId="0" applyNumberFormat="1" applyFont="1" applyBorder="1" applyAlignment="1">
      <alignment horizontal="center" vertical="center" wrapText="1"/>
    </xf>
    <xf numFmtId="10" fontId="17" fillId="15" borderId="17" xfId="0" applyNumberFormat="1" applyFont="1" applyFill="1" applyBorder="1" applyAlignment="1">
      <alignment horizontal="center" vertical="center" wrapText="1"/>
    </xf>
    <xf numFmtId="10" fontId="25" fillId="15" borderId="17" xfId="0" applyNumberFormat="1" applyFont="1" applyFill="1" applyBorder="1" applyAlignment="1">
      <alignment horizontal="center" vertical="center" wrapText="1"/>
    </xf>
    <xf numFmtId="0" fontId="15" fillId="0" borderId="35" xfId="0" applyFont="1" applyBorder="1" applyAlignment="1">
      <alignment horizontal="center" vertical="center" wrapText="1"/>
    </xf>
    <xf numFmtId="0" fontId="0" fillId="0" borderId="34" xfId="0" applyBorder="1" applyAlignment="1">
      <alignment horizontal="center" vertical="center" wrapText="1"/>
    </xf>
    <xf numFmtId="9" fontId="25" fillId="15" borderId="8" xfId="0" applyNumberFormat="1" applyFont="1" applyFill="1" applyBorder="1" applyAlignment="1">
      <alignment horizontal="center" vertical="center" wrapText="1"/>
    </xf>
    <xf numFmtId="0" fontId="34" fillId="6" borderId="2" xfId="0" applyFont="1" applyFill="1" applyBorder="1" applyAlignment="1">
      <alignment horizontal="center" vertical="center" wrapText="1"/>
    </xf>
    <xf numFmtId="0" fontId="25" fillId="18" borderId="8" xfId="0" applyFont="1" applyFill="1" applyBorder="1" applyAlignment="1">
      <alignment wrapText="1"/>
    </xf>
    <xf numFmtId="9" fontId="25" fillId="6" borderId="2" xfId="0" applyNumberFormat="1"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1" fillId="15" borderId="17" xfId="0" applyFont="1" applyFill="1" applyBorder="1" applyAlignment="1">
      <alignment horizontal="center" vertical="center" wrapText="1"/>
    </xf>
    <xf numFmtId="0" fontId="31" fillId="15"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25" fillId="16" borderId="2" xfId="0" applyFont="1" applyFill="1" applyBorder="1" applyAlignment="1">
      <alignment horizontal="center" vertical="center" wrapText="1"/>
    </xf>
    <xf numFmtId="9" fontId="17" fillId="16" borderId="2" xfId="0" applyNumberFormat="1" applyFont="1" applyFill="1" applyBorder="1" applyAlignment="1">
      <alignment horizontal="center" vertical="center" wrapText="1"/>
    </xf>
    <xf numFmtId="0" fontId="0" fillId="10" borderId="2" xfId="0" applyFill="1" applyBorder="1" applyAlignment="1">
      <alignment horizontal="center" vertical="center"/>
    </xf>
    <xf numFmtId="0" fontId="15" fillId="15" borderId="17"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15" fillId="0" borderId="8" xfId="0"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26" fillId="6" borderId="2" xfId="0" applyFont="1" applyFill="1" applyBorder="1" applyAlignment="1">
      <alignment horizontal="center" vertical="center" wrapText="1"/>
    </xf>
    <xf numFmtId="0" fontId="35" fillId="18" borderId="2" xfId="0" applyFont="1" applyFill="1" applyBorder="1" applyAlignment="1">
      <alignment wrapText="1"/>
    </xf>
    <xf numFmtId="9" fontId="15" fillId="0" borderId="2" xfId="0" applyNumberFormat="1" applyFont="1" applyBorder="1" applyAlignment="1">
      <alignment horizontal="center" vertical="center" wrapText="1"/>
    </xf>
    <xf numFmtId="0" fontId="25" fillId="21" borderId="2" xfId="0" applyFont="1" applyFill="1" applyBorder="1" applyAlignment="1">
      <alignment wrapText="1"/>
    </xf>
    <xf numFmtId="0" fontId="34" fillId="15" borderId="2" xfId="0" applyFont="1" applyFill="1" applyBorder="1" applyAlignment="1">
      <alignment horizontal="center" vertical="center" wrapText="1"/>
    </xf>
    <xf numFmtId="0" fontId="25" fillId="22" borderId="17" xfId="0" applyFont="1" applyFill="1" applyBorder="1" applyAlignment="1">
      <alignment wrapText="1"/>
    </xf>
    <xf numFmtId="0" fontId="25" fillId="0" borderId="17" xfId="0" applyFont="1" applyFill="1" applyBorder="1" applyAlignment="1">
      <alignment wrapText="1"/>
    </xf>
    <xf numFmtId="0" fontId="31" fillId="23" borderId="17" xfId="0" applyFont="1" applyFill="1" applyBorder="1" applyAlignment="1">
      <alignment wrapText="1"/>
    </xf>
    <xf numFmtId="0" fontId="25" fillId="0" borderId="2" xfId="0" applyFont="1" applyFill="1" applyBorder="1" applyAlignment="1">
      <alignment wrapText="1"/>
    </xf>
    <xf numFmtId="0" fontId="31" fillId="0" borderId="17" xfId="0" applyFont="1" applyFill="1" applyBorder="1" applyAlignment="1">
      <alignment wrapText="1"/>
    </xf>
    <xf numFmtId="0" fontId="25" fillId="16" borderId="17" xfId="0" applyFont="1" applyFill="1" applyBorder="1" applyAlignment="1">
      <alignment wrapText="1"/>
    </xf>
    <xf numFmtId="0" fontId="20" fillId="16" borderId="2" xfId="0" applyFont="1" applyFill="1" applyBorder="1" applyAlignment="1">
      <alignment wrapText="1"/>
    </xf>
    <xf numFmtId="0" fontId="20" fillId="23" borderId="2" xfId="0" applyFont="1" applyFill="1" applyBorder="1" applyAlignment="1">
      <alignment wrapText="1"/>
    </xf>
    <xf numFmtId="0" fontId="17" fillId="23" borderId="2" xfId="0" applyFont="1" applyFill="1" applyBorder="1" applyAlignment="1">
      <alignment horizontal="center" vertical="center" wrapText="1"/>
    </xf>
    <xf numFmtId="0" fontId="43" fillId="23" borderId="2" xfId="0" applyFont="1" applyFill="1" applyBorder="1" applyAlignment="1">
      <alignment wrapText="1"/>
    </xf>
    <xf numFmtId="0" fontId="44" fillId="23" borderId="2" xfId="0" applyFont="1" applyFill="1" applyBorder="1" applyAlignment="1">
      <alignment wrapText="1"/>
    </xf>
    <xf numFmtId="0" fontId="17" fillId="18" borderId="2" xfId="0" applyFont="1" applyFill="1" applyBorder="1" applyAlignment="1">
      <alignment horizontal="center" vertical="center" wrapText="1"/>
    </xf>
    <xf numFmtId="0" fontId="20" fillId="18" borderId="2" xfId="0" applyFont="1" applyFill="1" applyBorder="1" applyAlignment="1">
      <alignment wrapText="1"/>
    </xf>
    <xf numFmtId="0" fontId="43" fillId="16" borderId="2" xfId="0" applyFont="1" applyFill="1" applyBorder="1" applyAlignment="1">
      <alignment wrapText="1"/>
    </xf>
    <xf numFmtId="0" fontId="20" fillId="16" borderId="17" xfId="0" applyFont="1" applyFill="1" applyBorder="1" applyAlignment="1">
      <alignment wrapText="1"/>
    </xf>
    <xf numFmtId="10" fontId="17" fillId="18" borderId="17" xfId="0" applyNumberFormat="1" applyFont="1" applyFill="1" applyBorder="1" applyAlignment="1">
      <alignment horizontal="center" vertical="center" wrapText="1"/>
    </xf>
    <xf numFmtId="0" fontId="17" fillId="18" borderId="17" xfId="0" applyFont="1" applyFill="1" applyBorder="1" applyAlignment="1">
      <alignment horizontal="center" vertical="center" wrapText="1"/>
    </xf>
    <xf numFmtId="0" fontId="17" fillId="0" borderId="19" xfId="0" applyFont="1" applyBorder="1" applyAlignment="1">
      <alignment horizontal="center" vertical="center" wrapText="1"/>
    </xf>
    <xf numFmtId="0" fontId="25" fillId="18" borderId="17" xfId="0" applyFont="1" applyFill="1" applyBorder="1" applyAlignment="1">
      <alignment wrapText="1"/>
    </xf>
    <xf numFmtId="9" fontId="34" fillId="6" borderId="2" xfId="0" applyNumberFormat="1" applyFont="1" applyFill="1" applyBorder="1" applyAlignment="1">
      <alignment horizontal="center" vertical="center" wrapText="1"/>
    </xf>
    <xf numFmtId="0" fontId="20" fillId="0" borderId="2" xfId="0" applyFont="1" applyFill="1" applyBorder="1" applyAlignment="1">
      <alignment wrapText="1"/>
    </xf>
    <xf numFmtId="1" fontId="15" fillId="0" borderId="2" xfId="0" applyNumberFormat="1" applyFont="1" applyBorder="1" applyAlignment="1">
      <alignment horizontal="center" vertical="center" wrapText="1"/>
    </xf>
    <xf numFmtId="9" fontId="17" fillId="10" borderId="2" xfId="0" applyNumberFormat="1" applyFont="1" applyFill="1" applyBorder="1" applyAlignment="1">
      <alignment horizontal="center" vertical="center" wrapText="1"/>
    </xf>
    <xf numFmtId="0" fontId="20" fillId="0" borderId="17" xfId="0" applyFont="1" applyFill="1" applyBorder="1" applyAlignment="1">
      <alignment wrapText="1"/>
    </xf>
    <xf numFmtId="0" fontId="17" fillId="10" borderId="17" xfId="0" applyFont="1" applyFill="1" applyBorder="1" applyAlignment="1">
      <alignment horizontal="center" vertical="center" wrapText="1"/>
    </xf>
    <xf numFmtId="0" fontId="25" fillId="0" borderId="8" xfId="0" applyFont="1" applyBorder="1" applyAlignment="1">
      <alignment horizontal="center" vertical="center" wrapText="1"/>
    </xf>
    <xf numFmtId="9" fontId="17" fillId="10" borderId="8" xfId="0" applyNumberFormat="1" applyFont="1" applyFill="1" applyBorder="1" applyAlignment="1">
      <alignment horizontal="center" vertical="center" wrapText="1"/>
    </xf>
    <xf numFmtId="0" fontId="31" fillId="16" borderId="2" xfId="0" applyFont="1" applyFill="1" applyBorder="1" applyAlignment="1">
      <alignment wrapText="1"/>
    </xf>
    <xf numFmtId="0" fontId="25" fillId="16" borderId="2" xfId="0" applyFont="1" applyFill="1" applyBorder="1" applyAlignment="1">
      <alignment wrapText="1"/>
    </xf>
    <xf numFmtId="0" fontId="25" fillId="18" borderId="2" xfId="0" applyFont="1" applyFill="1" applyBorder="1" applyAlignment="1">
      <alignment wrapText="1"/>
    </xf>
    <xf numFmtId="0" fontId="14" fillId="6" borderId="2" xfId="0" applyFont="1" applyFill="1" applyBorder="1" applyAlignment="1">
      <alignment horizontal="center" vertical="center" wrapText="1"/>
    </xf>
    <xf numFmtId="0" fontId="36" fillId="6" borderId="2" xfId="0" applyFont="1" applyFill="1" applyBorder="1" applyAlignment="1">
      <alignment horizontal="center" vertical="center" wrapText="1"/>
    </xf>
    <xf numFmtId="1" fontId="15" fillId="15" borderId="2" xfId="0" applyNumberFormat="1" applyFont="1" applyFill="1" applyBorder="1" applyAlignment="1">
      <alignment horizontal="center" vertical="center" wrapText="1"/>
    </xf>
    <xf numFmtId="10" fontId="17" fillId="15" borderId="8" xfId="0" applyNumberFormat="1" applyFont="1" applyFill="1" applyBorder="1" applyAlignment="1">
      <alignment horizontal="center" vertical="center" wrapText="1"/>
    </xf>
    <xf numFmtId="0" fontId="20" fillId="24" borderId="2" xfId="0" applyFont="1" applyFill="1" applyBorder="1" applyAlignment="1">
      <alignment wrapText="1"/>
    </xf>
    <xf numFmtId="0" fontId="17" fillId="6" borderId="8" xfId="0" applyFont="1" applyFill="1" applyBorder="1" applyAlignment="1">
      <alignment horizontal="center" vertical="center" wrapText="1"/>
    </xf>
    <xf numFmtId="14" fontId="17" fillId="6" borderId="8" xfId="0" applyNumberFormat="1" applyFont="1" applyFill="1" applyBorder="1" applyAlignment="1">
      <alignment horizontal="center" vertical="center" wrapText="1"/>
    </xf>
    <xf numFmtId="0" fontId="15" fillId="6" borderId="8" xfId="0" applyFont="1" applyFill="1" applyBorder="1" applyAlignment="1">
      <alignment horizontal="center" vertical="center" wrapText="1"/>
    </xf>
    <xf numFmtId="9" fontId="17" fillId="6" borderId="8" xfId="0" applyNumberFormat="1" applyFont="1" applyFill="1" applyBorder="1" applyAlignment="1">
      <alignment horizontal="center" vertical="center" wrapText="1"/>
    </xf>
    <xf numFmtId="0" fontId="15" fillId="6" borderId="27"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25" fillId="15" borderId="8" xfId="0" applyFont="1" applyFill="1" applyBorder="1" applyAlignment="1">
      <alignment horizontal="center" vertical="center" wrapText="1"/>
    </xf>
    <xf numFmtId="0" fontId="31" fillId="0" borderId="2" xfId="0" applyFont="1" applyFill="1" applyBorder="1" applyAlignment="1">
      <alignment wrapText="1"/>
    </xf>
    <xf numFmtId="0" fontId="31" fillId="16" borderId="2" xfId="0" quotePrefix="1" applyFont="1" applyFill="1" applyBorder="1" applyAlignment="1">
      <alignment wrapText="1"/>
    </xf>
    <xf numFmtId="0" fontId="25" fillId="0" borderId="8" xfId="0" applyFont="1" applyFill="1" applyBorder="1" applyAlignment="1">
      <alignment wrapText="1"/>
    </xf>
    <xf numFmtId="0" fontId="20" fillId="18" borderId="17" xfId="0" applyFont="1" applyFill="1" applyBorder="1" applyAlignment="1">
      <alignment wrapText="1"/>
    </xf>
    <xf numFmtId="0" fontId="20" fillId="18" borderId="8" xfId="0" applyFont="1" applyFill="1" applyBorder="1" applyAlignment="1">
      <alignment wrapText="1"/>
    </xf>
    <xf numFmtId="9" fontId="17" fillId="10" borderId="17" xfId="0" applyNumberFormat="1" applyFont="1" applyFill="1" applyBorder="1" applyAlignment="1">
      <alignment horizontal="center" vertical="center" wrapText="1"/>
    </xf>
    <xf numFmtId="9" fontId="25" fillId="0" borderId="8" xfId="0" applyNumberFormat="1" applyFont="1" applyBorder="1" applyAlignment="1">
      <alignment horizontal="center" vertical="center" wrapText="1"/>
    </xf>
    <xf numFmtId="0" fontId="45" fillId="18" borderId="2" xfId="0" applyFont="1" applyFill="1" applyBorder="1" applyAlignment="1">
      <alignment wrapText="1"/>
    </xf>
    <xf numFmtId="0" fontId="45" fillId="18" borderId="17" xfId="0" applyFont="1" applyFill="1" applyBorder="1" applyAlignment="1">
      <alignment wrapText="1"/>
    </xf>
    <xf numFmtId="0" fontId="15" fillId="15" borderId="8" xfId="0" applyFont="1" applyFill="1" applyBorder="1" applyAlignment="1">
      <alignment horizontal="center" vertical="center"/>
    </xf>
    <xf numFmtId="0" fontId="45" fillId="18" borderId="8" xfId="0" applyFont="1" applyFill="1" applyBorder="1" applyAlignment="1">
      <alignment wrapText="1"/>
    </xf>
    <xf numFmtId="0" fontId="17" fillId="0" borderId="8" xfId="0" applyFont="1" applyBorder="1" applyAlignment="1">
      <alignment horizontal="center" vertical="center"/>
    </xf>
    <xf numFmtId="0" fontId="31" fillId="0" borderId="8" xfId="0" applyFont="1" applyFill="1" applyBorder="1" applyAlignment="1">
      <alignment wrapText="1"/>
    </xf>
    <xf numFmtId="0" fontId="25" fillId="22" borderId="2" xfId="0" applyFont="1" applyFill="1" applyBorder="1" applyAlignment="1">
      <alignment wrapText="1"/>
    </xf>
    <xf numFmtId="0" fontId="36" fillId="21" borderId="2" xfId="0" applyFont="1" applyFill="1" applyBorder="1" applyAlignment="1">
      <alignment wrapText="1"/>
    </xf>
    <xf numFmtId="0" fontId="29" fillId="21" borderId="2" xfId="0" applyFont="1" applyFill="1" applyBorder="1" applyAlignment="1">
      <alignment wrapText="1"/>
    </xf>
    <xf numFmtId="10" fontId="17" fillId="10" borderId="2" xfId="0" applyNumberFormat="1" applyFont="1" applyFill="1" applyBorder="1" applyAlignment="1">
      <alignment horizontal="center" vertical="center" wrapText="1"/>
    </xf>
    <xf numFmtId="0" fontId="41" fillId="21" borderId="2" xfId="0" applyFont="1" applyFill="1" applyBorder="1" applyAlignment="1">
      <alignment wrapText="1"/>
    </xf>
    <xf numFmtId="0" fontId="29" fillId="15" borderId="8" xfId="0" applyFont="1" applyFill="1" applyBorder="1" applyAlignment="1">
      <alignment horizontal="center" vertical="center" wrapText="1"/>
    </xf>
    <xf numFmtId="0" fontId="25" fillId="21" borderId="8" xfId="0" applyFont="1" applyFill="1" applyBorder="1" applyAlignment="1">
      <alignment wrapText="1"/>
    </xf>
    <xf numFmtId="0" fontId="25" fillId="18" borderId="2"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40" fillId="18" borderId="2" xfId="0" applyFont="1" applyFill="1" applyBorder="1" applyAlignment="1">
      <alignment wrapText="1"/>
    </xf>
    <xf numFmtId="0" fontId="40" fillId="18" borderId="17" xfId="0" applyFont="1" applyFill="1" applyBorder="1" applyAlignment="1">
      <alignment wrapText="1"/>
    </xf>
    <xf numFmtId="0" fontId="26" fillId="15" borderId="8" xfId="0" applyFont="1" applyFill="1" applyBorder="1" applyAlignment="1">
      <alignment horizontal="center" vertical="center" wrapText="1"/>
    </xf>
    <xf numFmtId="0" fontId="30" fillId="15" borderId="8" xfId="0" applyFont="1" applyFill="1" applyBorder="1" applyAlignment="1">
      <alignment horizontal="center" vertical="center" wrapText="1"/>
    </xf>
    <xf numFmtId="0" fontId="40" fillId="18" borderId="8" xfId="0" applyFont="1" applyFill="1" applyBorder="1" applyAlignment="1">
      <alignment wrapText="1"/>
    </xf>
    <xf numFmtId="164" fontId="17" fillId="0" borderId="8" xfId="0" applyNumberFormat="1" applyFont="1" applyBorder="1" applyAlignment="1">
      <alignment horizontal="center" vertical="center" wrapText="1"/>
    </xf>
    <xf numFmtId="0" fontId="14" fillId="0" borderId="27" xfId="0" applyFont="1" applyBorder="1" applyAlignment="1">
      <alignment horizontal="center" vertical="center" wrapText="1"/>
    </xf>
    <xf numFmtId="0" fontId="25" fillId="23" borderId="2" xfId="0" applyFont="1" applyFill="1" applyBorder="1" applyAlignment="1">
      <alignment wrapText="1"/>
    </xf>
    <xf numFmtId="0" fontId="25" fillId="23" borderId="17" xfId="0" applyFont="1" applyFill="1" applyBorder="1" applyAlignment="1">
      <alignment wrapText="1"/>
    </xf>
    <xf numFmtId="0" fontId="25" fillId="23" borderId="8" xfId="0" applyFont="1" applyFill="1" applyBorder="1" applyAlignment="1">
      <alignment wrapText="1"/>
    </xf>
    <xf numFmtId="10" fontId="17" fillId="10" borderId="17" xfId="0" applyNumberFormat="1" applyFont="1" applyFill="1" applyBorder="1" applyAlignment="1">
      <alignment horizontal="center" vertical="center" wrapText="1"/>
    </xf>
    <xf numFmtId="0" fontId="17" fillId="18" borderId="8" xfId="0" applyFont="1" applyFill="1" applyBorder="1" applyAlignment="1">
      <alignment horizontal="center" vertical="center" wrapText="1"/>
    </xf>
    <xf numFmtId="0" fontId="31" fillId="23" borderId="2" xfId="0" applyFont="1" applyFill="1" applyBorder="1" applyAlignment="1">
      <alignment wrapText="1"/>
    </xf>
    <xf numFmtId="0" fontId="15" fillId="10" borderId="2" xfId="0" applyFont="1" applyFill="1" applyBorder="1" applyAlignment="1">
      <alignment horizontal="center" vertical="center" wrapText="1"/>
    </xf>
    <xf numFmtId="0" fontId="15" fillId="10" borderId="17" xfId="0" applyFont="1" applyFill="1" applyBorder="1" applyAlignment="1">
      <alignment horizontal="center" vertical="center" wrapText="1"/>
    </xf>
    <xf numFmtId="9" fontId="15" fillId="15" borderId="8" xfId="0" applyNumberFormat="1"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10" borderId="2" xfId="0" applyFill="1" applyBorder="1" applyAlignment="1">
      <alignment horizontal="center" vertical="center" wrapText="1"/>
    </xf>
    <xf numFmtId="0" fontId="0" fillId="10" borderId="17" xfId="0" applyFill="1" applyBorder="1" applyAlignment="1">
      <alignment horizontal="center" vertical="center" wrapText="1"/>
    </xf>
    <xf numFmtId="0" fontId="0" fillId="10" borderId="19" xfId="0" applyFill="1" applyBorder="1" applyAlignment="1">
      <alignment horizontal="center" vertical="center" wrapText="1"/>
    </xf>
    <xf numFmtId="0" fontId="31" fillId="16" borderId="17" xfId="0" applyFont="1" applyFill="1" applyBorder="1" applyAlignment="1">
      <alignment horizontal="center" vertical="center" wrapText="1"/>
    </xf>
    <xf numFmtId="0" fontId="31" fillId="16" borderId="2" xfId="0" applyFont="1" applyFill="1" applyBorder="1" applyAlignment="1">
      <alignment horizontal="center" vertical="center" wrapText="1"/>
    </xf>
    <xf numFmtId="9" fontId="25" fillId="18" borderId="2" xfId="0" applyNumberFormat="1" applyFont="1" applyFill="1" applyBorder="1" applyAlignment="1">
      <alignment horizontal="center" vertical="center" wrapText="1"/>
    </xf>
    <xf numFmtId="0" fontId="25" fillId="18" borderId="8"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8" xfId="0" applyFont="1" applyFill="1" applyBorder="1" applyAlignment="1">
      <alignment horizontal="center" vertical="center" wrapText="1"/>
    </xf>
    <xf numFmtId="9" fontId="25" fillId="0" borderId="17" xfId="0" applyNumberFormat="1" applyFont="1" applyFill="1" applyBorder="1" applyAlignment="1">
      <alignment horizontal="center" vertical="center" wrapText="1"/>
    </xf>
    <xf numFmtId="9" fontId="25" fillId="0" borderId="8" xfId="0" applyNumberFormat="1" applyFont="1" applyFill="1" applyBorder="1" applyAlignment="1">
      <alignment horizontal="center" vertical="center" wrapText="1"/>
    </xf>
    <xf numFmtId="0" fontId="25" fillId="18" borderId="17" xfId="0" applyFont="1" applyFill="1" applyBorder="1" applyAlignment="1">
      <alignment horizontal="center" vertical="center" wrapText="1"/>
    </xf>
    <xf numFmtId="0" fontId="25" fillId="22" borderId="17" xfId="0" applyFont="1" applyFill="1" applyBorder="1" applyAlignment="1">
      <alignment horizontal="center" vertical="center" wrapText="1"/>
    </xf>
    <xf numFmtId="0" fontId="25" fillId="22" borderId="2" xfId="0" applyFont="1" applyFill="1" applyBorder="1" applyAlignment="1">
      <alignment horizontal="center" vertical="center" wrapText="1"/>
    </xf>
    <xf numFmtId="0" fontId="25" fillId="21" borderId="2" xfId="0" applyFont="1" applyFill="1" applyBorder="1" applyAlignment="1">
      <alignment horizontal="center" vertical="center" wrapText="1"/>
    </xf>
    <xf numFmtId="0" fontId="25" fillId="21" borderId="8" xfId="0" applyFont="1" applyFill="1" applyBorder="1" applyAlignment="1">
      <alignment horizontal="center" vertical="center" wrapText="1"/>
    </xf>
    <xf numFmtId="0" fontId="25" fillId="0" borderId="17" xfId="0" applyFont="1" applyFill="1" applyBorder="1" applyAlignment="1">
      <alignment horizontal="center" vertical="center" wrapText="1"/>
    </xf>
    <xf numFmtId="9" fontId="25" fillId="23" borderId="2" xfId="0" applyNumberFormat="1" applyFont="1" applyFill="1" applyBorder="1" applyAlignment="1">
      <alignment horizontal="center" vertical="center" wrapText="1"/>
    </xf>
    <xf numFmtId="0" fontId="25" fillId="23" borderId="2" xfId="0" applyFont="1" applyFill="1" applyBorder="1" applyAlignment="1">
      <alignment horizontal="center" vertical="center" wrapText="1"/>
    </xf>
    <xf numFmtId="9" fontId="25" fillId="0" borderId="2" xfId="0" applyNumberFormat="1" applyFont="1" applyFill="1" applyBorder="1" applyAlignment="1">
      <alignment horizontal="center" vertical="center" wrapText="1"/>
    </xf>
    <xf numFmtId="10" fontId="25" fillId="0" borderId="8" xfId="0" applyNumberFormat="1" applyFont="1" applyFill="1" applyBorder="1" applyAlignment="1">
      <alignment horizontal="center" vertical="center" wrapText="1"/>
    </xf>
    <xf numFmtId="0" fontId="31" fillId="23" borderId="2" xfId="0" applyFont="1" applyFill="1" applyBorder="1" applyAlignment="1">
      <alignment horizontal="center" vertical="center" wrapText="1"/>
    </xf>
    <xf numFmtId="10" fontId="31" fillId="0" borderId="2" xfId="0" applyNumberFormat="1" applyFont="1" applyFill="1" applyBorder="1" applyAlignment="1">
      <alignment horizontal="center" vertical="center" wrapText="1"/>
    </xf>
    <xf numFmtId="0" fontId="46" fillId="3" borderId="5" xfId="0" applyFont="1" applyFill="1" applyBorder="1" applyAlignment="1">
      <alignment horizontal="center" vertical="center"/>
    </xf>
    <xf numFmtId="0" fontId="47" fillId="0" borderId="17"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9" fontId="31" fillId="18" borderId="2" xfId="0" applyNumberFormat="1" applyFont="1" applyFill="1" applyBorder="1" applyAlignment="1">
      <alignment horizontal="center" vertical="center" wrapText="1"/>
    </xf>
    <xf numFmtId="0" fontId="25" fillId="24" borderId="2" xfId="0" applyFont="1" applyFill="1" applyBorder="1" applyAlignment="1">
      <alignment horizontal="center" vertical="center" wrapText="1"/>
    </xf>
    <xf numFmtId="0" fontId="48" fillId="23" borderId="2" xfId="0" applyFont="1" applyFill="1" applyBorder="1" applyAlignment="1">
      <alignment horizontal="center" vertical="center" wrapText="1"/>
    </xf>
    <xf numFmtId="0" fontId="49" fillId="23" borderId="2" xfId="0" applyFont="1" applyFill="1" applyBorder="1" applyAlignment="1">
      <alignment horizontal="center" vertical="center" wrapText="1"/>
    </xf>
    <xf numFmtId="9" fontId="25" fillId="16" borderId="2" xfId="0" applyNumberFormat="1" applyFont="1" applyFill="1" applyBorder="1" applyAlignment="1">
      <alignment horizontal="center" vertical="center" wrapText="1"/>
    </xf>
    <xf numFmtId="0" fontId="31" fillId="18" borderId="17" xfId="0" applyFont="1" applyFill="1" applyBorder="1" applyAlignment="1">
      <alignment horizontal="center" vertical="center" wrapText="1"/>
    </xf>
    <xf numFmtId="0" fontId="31" fillId="18" borderId="2" xfId="0" applyFont="1" applyFill="1" applyBorder="1" applyAlignment="1">
      <alignment horizontal="center" vertical="center" wrapText="1"/>
    </xf>
    <xf numFmtId="0" fontId="31" fillId="18" borderId="8" xfId="0" applyFont="1" applyFill="1" applyBorder="1" applyAlignment="1">
      <alignment horizontal="center" vertical="center" wrapText="1"/>
    </xf>
    <xf numFmtId="0" fontId="50" fillId="18" borderId="17" xfId="0" applyFont="1" applyFill="1" applyBorder="1" applyAlignment="1">
      <alignment horizontal="center" vertical="center" wrapText="1"/>
    </xf>
    <xf numFmtId="0" fontId="50" fillId="18" borderId="2" xfId="0" applyFont="1" applyFill="1" applyBorder="1" applyAlignment="1">
      <alignment horizontal="center" vertical="center" wrapText="1"/>
    </xf>
    <xf numFmtId="0" fontId="50" fillId="18" borderId="8" xfId="0" applyFont="1" applyFill="1" applyBorder="1" applyAlignment="1">
      <alignment horizontal="center" vertical="center" wrapText="1"/>
    </xf>
    <xf numFmtId="0" fontId="31" fillId="0" borderId="19" xfId="0" applyFont="1" applyFill="1" applyBorder="1" applyAlignment="1">
      <alignment horizontal="center" vertical="center" wrapText="1"/>
    </xf>
    <xf numFmtId="9" fontId="15" fillId="15" borderId="8" xfId="0" applyNumberFormat="1" applyFont="1" applyFill="1" applyBorder="1" applyAlignment="1">
      <alignment horizontal="center" vertical="center"/>
    </xf>
    <xf numFmtId="9" fontId="0" fillId="2" borderId="2" xfId="0" applyNumberFormat="1" applyFill="1" applyBorder="1" applyAlignment="1">
      <alignment horizontal="center" vertical="center"/>
    </xf>
    <xf numFmtId="165" fontId="35" fillId="0" borderId="2" xfId="0" applyNumberFormat="1" applyFont="1" applyBorder="1" applyAlignment="1">
      <alignment horizontal="center" vertical="center" wrapText="1"/>
    </xf>
    <xf numFmtId="10" fontId="31" fillId="0" borderId="2" xfId="0" applyNumberFormat="1" applyFont="1" applyBorder="1" applyAlignment="1">
      <alignment horizontal="center" vertical="center" wrapText="1"/>
    </xf>
    <xf numFmtId="0" fontId="0" fillId="2" borderId="8" xfId="0" applyFill="1" applyBorder="1" applyAlignment="1">
      <alignment horizontal="center" vertical="center"/>
    </xf>
    <xf numFmtId="9" fontId="17" fillId="15" borderId="2" xfId="1" applyFont="1" applyFill="1" applyBorder="1" applyAlignment="1">
      <alignment horizontal="center" vertical="center" wrapText="1"/>
    </xf>
    <xf numFmtId="9" fontId="17" fillId="15" borderId="8" xfId="1" applyFont="1" applyFill="1" applyBorder="1" applyAlignment="1">
      <alignment horizontal="center" vertical="center" wrapText="1"/>
    </xf>
    <xf numFmtId="9" fontId="25" fillId="15" borderId="2" xfId="1" applyFont="1" applyFill="1" applyBorder="1" applyAlignment="1">
      <alignment horizontal="center" vertical="center" wrapText="1"/>
    </xf>
    <xf numFmtId="10" fontId="25" fillId="0" borderId="2" xfId="1" applyNumberFormat="1" applyFont="1" applyBorder="1" applyAlignment="1">
      <alignment horizontal="center" vertical="center" wrapText="1"/>
    </xf>
    <xf numFmtId="10" fontId="25" fillId="0" borderId="8" xfId="1" applyNumberFormat="1" applyFont="1" applyBorder="1" applyAlignment="1">
      <alignment horizontal="center" vertical="center" wrapText="1"/>
    </xf>
    <xf numFmtId="10" fontId="17" fillId="15" borderId="2" xfId="1" applyNumberFormat="1" applyFont="1" applyFill="1" applyBorder="1" applyAlignment="1">
      <alignment horizontal="center" vertical="center" wrapText="1"/>
    </xf>
    <xf numFmtId="10" fontId="17" fillId="15" borderId="8" xfId="1" applyNumberFormat="1" applyFont="1" applyFill="1" applyBorder="1" applyAlignment="1">
      <alignment horizontal="center" vertical="center" wrapText="1"/>
    </xf>
    <xf numFmtId="10" fontId="17" fillId="6" borderId="2" xfId="1" applyNumberFormat="1" applyFont="1" applyFill="1" applyBorder="1" applyAlignment="1">
      <alignment horizontal="center" vertical="center" wrapText="1"/>
    </xf>
    <xf numFmtId="10" fontId="17" fillId="0" borderId="2" xfId="1" applyNumberFormat="1" applyFont="1" applyBorder="1" applyAlignment="1">
      <alignment horizontal="center" vertical="center" wrapText="1"/>
    </xf>
    <xf numFmtId="10" fontId="25" fillId="15" borderId="2" xfId="1" applyNumberFormat="1" applyFont="1" applyFill="1" applyBorder="1" applyAlignment="1">
      <alignment horizontal="center" vertical="center" wrapText="1"/>
    </xf>
    <xf numFmtId="10" fontId="25" fillId="15" borderId="8" xfId="1" applyNumberFormat="1" applyFont="1" applyFill="1" applyBorder="1" applyAlignment="1">
      <alignment horizontal="center" vertical="center" wrapText="1"/>
    </xf>
    <xf numFmtId="10" fontId="17" fillId="0" borderId="17" xfId="1" applyNumberFormat="1" applyFont="1" applyBorder="1" applyAlignment="1">
      <alignment horizontal="center" vertical="center" wrapText="1"/>
    </xf>
    <xf numFmtId="10" fontId="17" fillId="0" borderId="8" xfId="1" applyNumberFormat="1" applyFont="1" applyBorder="1" applyAlignment="1">
      <alignment horizontal="center" vertical="center" wrapText="1"/>
    </xf>
    <xf numFmtId="10" fontId="17" fillId="15" borderId="17" xfId="1" applyNumberFormat="1" applyFont="1" applyFill="1" applyBorder="1" applyAlignment="1">
      <alignment horizontal="center" vertical="center" wrapText="1"/>
    </xf>
    <xf numFmtId="10" fontId="15" fillId="15" borderId="8" xfId="1" applyNumberFormat="1" applyFont="1" applyFill="1" applyBorder="1" applyAlignment="1">
      <alignment horizontal="center" vertical="center"/>
    </xf>
    <xf numFmtId="10" fontId="0" fillId="0" borderId="17" xfId="1" applyNumberFormat="1" applyFont="1" applyBorder="1" applyAlignment="1">
      <alignment horizontal="center" vertical="center" wrapText="1"/>
    </xf>
    <xf numFmtId="10" fontId="0" fillId="0" borderId="2" xfId="1" applyNumberFormat="1" applyFont="1" applyBorder="1" applyAlignment="1">
      <alignment horizontal="center" vertical="center" wrapText="1"/>
    </xf>
    <xf numFmtId="10" fontId="25" fillId="6" borderId="2" xfId="1" applyNumberFormat="1" applyFont="1" applyFill="1" applyBorder="1" applyAlignment="1">
      <alignment horizontal="center" vertical="center" wrapText="1"/>
    </xf>
    <xf numFmtId="10" fontId="25" fillId="6" borderId="8" xfId="1" applyNumberFormat="1" applyFont="1" applyFill="1" applyBorder="1" applyAlignment="1">
      <alignment horizontal="center" vertical="center" wrapText="1"/>
    </xf>
    <xf numFmtId="10" fontId="25" fillId="0" borderId="17" xfId="1" applyNumberFormat="1" applyFont="1" applyBorder="1" applyAlignment="1">
      <alignment horizontal="center" vertical="center" wrapText="1"/>
    </xf>
    <xf numFmtId="10" fontId="20" fillId="15" borderId="2" xfId="1" applyNumberFormat="1" applyFont="1" applyFill="1" applyBorder="1" applyAlignment="1">
      <alignment horizontal="center" vertical="center" wrapText="1"/>
    </xf>
    <xf numFmtId="10" fontId="20" fillId="0" borderId="17" xfId="1" applyNumberFormat="1" applyFont="1" applyBorder="1" applyAlignment="1">
      <alignment horizontal="center" vertical="center" wrapText="1"/>
    </xf>
    <xf numFmtId="10" fontId="20" fillId="0" borderId="8" xfId="1" applyNumberFormat="1" applyFont="1" applyBorder="1" applyAlignment="1">
      <alignment horizontal="center" vertical="center" wrapText="1"/>
    </xf>
    <xf numFmtId="10" fontId="20" fillId="0" borderId="2" xfId="1" applyNumberFormat="1" applyFont="1" applyBorder="1" applyAlignment="1">
      <alignment horizontal="center" vertical="center" wrapText="1"/>
    </xf>
    <xf numFmtId="10" fontId="31" fillId="15" borderId="8" xfId="1" applyNumberFormat="1" applyFont="1" applyFill="1" applyBorder="1" applyAlignment="1">
      <alignment horizontal="center" vertical="center" wrapText="1"/>
    </xf>
    <xf numFmtId="9" fontId="25" fillId="15" borderId="17" xfId="1" applyFont="1" applyFill="1" applyBorder="1" applyAlignment="1">
      <alignment horizontal="center" vertical="center" wrapText="1"/>
    </xf>
    <xf numFmtId="9" fontId="25" fillId="18" borderId="2" xfId="1" applyFont="1" applyFill="1" applyBorder="1" applyAlignment="1">
      <alignment horizontal="center" vertical="center" wrapText="1"/>
    </xf>
    <xf numFmtId="9" fontId="25" fillId="18" borderId="8" xfId="1" applyFont="1" applyFill="1" applyBorder="1" applyAlignment="1">
      <alignment horizontal="center" vertical="center" wrapText="1"/>
    </xf>
    <xf numFmtId="9" fontId="25" fillId="0" borderId="2" xfId="1" applyFont="1" applyFill="1" applyBorder="1" applyAlignment="1">
      <alignment horizontal="center" vertical="center" wrapText="1"/>
    </xf>
    <xf numFmtId="9" fontId="31" fillId="18" borderId="2" xfId="1" applyFont="1" applyFill="1" applyBorder="1" applyAlignment="1">
      <alignment horizontal="center" vertical="center" wrapText="1"/>
    </xf>
    <xf numFmtId="9" fontId="31" fillId="0" borderId="17" xfId="1" applyFont="1" applyFill="1" applyBorder="1" applyAlignment="1">
      <alignment horizontal="center" vertical="center" wrapText="1"/>
    </xf>
    <xf numFmtId="9" fontId="31" fillId="0" borderId="8" xfId="1" applyFont="1" applyFill="1" applyBorder="1" applyAlignment="1">
      <alignment horizontal="center" vertical="center" wrapText="1"/>
    </xf>
    <xf numFmtId="9" fontId="25" fillId="21" borderId="2" xfId="1" applyFont="1" applyFill="1" applyBorder="1" applyAlignment="1">
      <alignment horizontal="center" vertical="center" wrapText="1"/>
    </xf>
    <xf numFmtId="9" fontId="25" fillId="22" borderId="2" xfId="1" applyFont="1" applyFill="1" applyBorder="1" applyAlignment="1">
      <alignment horizontal="center" vertical="center" wrapText="1"/>
    </xf>
    <xf numFmtId="9" fontId="25" fillId="0" borderId="17" xfId="1" applyFont="1" applyFill="1" applyBorder="1" applyAlignment="1">
      <alignment horizontal="center" vertical="center" wrapText="1"/>
    </xf>
    <xf numFmtId="9" fontId="25" fillId="0" borderId="8" xfId="1" applyFont="1" applyFill="1" applyBorder="1" applyAlignment="1">
      <alignment horizontal="center" vertical="center" wrapText="1"/>
    </xf>
    <xf numFmtId="9" fontId="31" fillId="0" borderId="2" xfId="1" applyFont="1" applyFill="1" applyBorder="1" applyAlignment="1">
      <alignment horizontal="center" vertical="center" wrapText="1"/>
    </xf>
    <xf numFmtId="0" fontId="17" fillId="0" borderId="2" xfId="0" applyFont="1" applyFill="1" applyBorder="1" applyAlignment="1">
      <alignment horizontal="center" vertical="center" wrapText="1"/>
    </xf>
    <xf numFmtId="10" fontId="25" fillId="19" borderId="2" xfId="1" applyNumberFormat="1" applyFont="1" applyFill="1" applyBorder="1" applyAlignment="1">
      <alignment horizontal="center" vertical="center" wrapText="1"/>
    </xf>
    <xf numFmtId="10" fontId="25" fillId="19" borderId="8" xfId="1" applyNumberFormat="1" applyFont="1" applyFill="1" applyBorder="1" applyAlignment="1">
      <alignment horizontal="center" vertical="center" wrapText="1"/>
    </xf>
    <xf numFmtId="0" fontId="25" fillId="19" borderId="2" xfId="0" applyFont="1" applyFill="1" applyBorder="1" applyAlignment="1">
      <alignment horizontal="center" vertical="center" wrapText="1"/>
    </xf>
    <xf numFmtId="49" fontId="17" fillId="15" borderId="2" xfId="2" applyNumberFormat="1" applyFont="1" applyFill="1" applyBorder="1" applyAlignment="1">
      <alignment horizontal="center" vertical="center" wrapText="1"/>
    </xf>
    <xf numFmtId="0" fontId="17" fillId="15" borderId="2" xfId="2" applyNumberFormat="1" applyFont="1" applyFill="1" applyBorder="1" applyAlignment="1">
      <alignment horizontal="center" vertical="center" wrapText="1"/>
    </xf>
    <xf numFmtId="0" fontId="32" fillId="0" borderId="2" xfId="0" applyFont="1" applyBorder="1" applyAlignment="1">
      <alignment horizontal="center" vertical="center" wrapText="1"/>
    </xf>
    <xf numFmtId="9" fontId="35" fillId="15" borderId="2" xfId="0" applyNumberFormat="1" applyFont="1" applyFill="1" applyBorder="1" applyAlignment="1">
      <alignment horizontal="center" vertical="center" wrapText="1"/>
    </xf>
    <xf numFmtId="0" fontId="27" fillId="15" borderId="2" xfId="0" applyFont="1" applyFill="1" applyBorder="1" applyAlignment="1">
      <alignment horizontal="center" vertical="center" wrapText="1"/>
    </xf>
    <xf numFmtId="1" fontId="27" fillId="15" borderId="2" xfId="0" applyNumberFormat="1"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5" fillId="19" borderId="8"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2" xfId="0" applyFont="1" applyFill="1" applyBorder="1" applyAlignment="1">
      <alignment horizontal="center" vertical="center" wrapText="1"/>
    </xf>
    <xf numFmtId="10" fontId="20" fillId="6" borderId="2" xfId="1" applyNumberFormat="1" applyFont="1" applyFill="1" applyBorder="1" applyAlignment="1">
      <alignment horizontal="center" vertical="center" wrapText="1"/>
    </xf>
    <xf numFmtId="0" fontId="20" fillId="16" borderId="2" xfId="0" applyFont="1" applyFill="1" applyBorder="1" applyAlignment="1">
      <alignment horizontal="center" vertical="center" wrapText="1"/>
    </xf>
    <xf numFmtId="0" fontId="25" fillId="6" borderId="8" xfId="0" applyFont="1" applyFill="1" applyBorder="1" applyAlignment="1">
      <alignment horizontal="center" vertical="center" wrapText="1"/>
    </xf>
    <xf numFmtId="10" fontId="20" fillId="16" borderId="8" xfId="1" applyNumberFormat="1" applyFont="1" applyFill="1" applyBorder="1" applyAlignment="1">
      <alignment horizontal="center" vertical="center" wrapText="1"/>
    </xf>
    <xf numFmtId="0" fontId="20" fillId="16" borderId="8"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0" fillId="16" borderId="17" xfId="0" applyFont="1" applyFill="1" applyBorder="1" applyAlignment="1">
      <alignment horizontal="center" vertical="center" wrapText="1"/>
    </xf>
    <xf numFmtId="0" fontId="20" fillId="20" borderId="2" xfId="0" applyFont="1" applyFill="1" applyBorder="1" applyAlignment="1">
      <alignment horizontal="center" vertical="center" wrapText="1"/>
    </xf>
    <xf numFmtId="0" fontId="31" fillId="0" borderId="2" xfId="0" applyFont="1" applyBorder="1" applyAlignment="1">
      <alignment horizontal="center" vertical="center" wrapText="1"/>
    </xf>
    <xf numFmtId="9" fontId="20" fillId="6" borderId="2" xfId="0" applyNumberFormat="1" applyFont="1" applyFill="1" applyBorder="1" applyAlignment="1">
      <alignment horizontal="center" vertical="center" wrapText="1"/>
    </xf>
    <xf numFmtId="0" fontId="31" fillId="6" borderId="2" xfId="0" applyFont="1" applyFill="1" applyBorder="1" applyAlignment="1">
      <alignment horizontal="center" vertical="center" wrapText="1"/>
    </xf>
    <xf numFmtId="0" fontId="25" fillId="0" borderId="2" xfId="0" quotePrefix="1" applyFont="1" applyBorder="1" applyAlignment="1">
      <alignment horizontal="center" vertical="center" wrapText="1"/>
    </xf>
    <xf numFmtId="9" fontId="20" fillId="0" borderId="2" xfId="0" applyNumberFormat="1" applyFont="1" applyBorder="1" applyAlignment="1">
      <alignment horizontal="center" vertical="center" wrapText="1"/>
    </xf>
    <xf numFmtId="0" fontId="25" fillId="6" borderId="2" xfId="0" quotePrefix="1" applyFont="1" applyFill="1" applyBorder="1" applyAlignment="1">
      <alignment horizontal="center" vertical="center" wrapText="1"/>
    </xf>
    <xf numFmtId="0" fontId="35" fillId="6" borderId="2" xfId="0" applyFont="1" applyFill="1" applyBorder="1" applyAlignment="1">
      <alignment horizontal="center" vertical="center" wrapText="1"/>
    </xf>
    <xf numFmtId="0" fontId="35" fillId="0" borderId="2" xfId="0" applyFont="1" applyBorder="1" applyAlignment="1">
      <alignment horizontal="center" vertical="center" wrapText="1"/>
    </xf>
    <xf numFmtId="10" fontId="31" fillId="0" borderId="17" xfId="1" applyNumberFormat="1" applyFont="1" applyBorder="1" applyAlignment="1">
      <alignment horizontal="center" vertical="center" wrapText="1"/>
    </xf>
    <xf numFmtId="0" fontId="31" fillId="0" borderId="17" xfId="0" applyFont="1" applyBorder="1" applyAlignment="1">
      <alignment horizontal="center" vertical="center" wrapText="1"/>
    </xf>
    <xf numFmtId="10" fontId="31" fillId="0" borderId="8" xfId="1" applyNumberFormat="1" applyFont="1" applyBorder="1" applyAlignment="1">
      <alignment horizontal="center" vertical="center" wrapText="1"/>
    </xf>
    <xf numFmtId="0" fontId="31" fillId="0" borderId="8" xfId="0" applyFont="1" applyBorder="1" applyAlignment="1">
      <alignment horizontal="center" vertical="center" wrapText="1"/>
    </xf>
    <xf numFmtId="10" fontId="25" fillId="14" borderId="17" xfId="1" applyNumberFormat="1" applyFont="1" applyFill="1" applyBorder="1" applyAlignment="1">
      <alignment horizontal="center" vertical="center" wrapText="1"/>
    </xf>
    <xf numFmtId="0" fontId="25" fillId="14" borderId="17" xfId="0" applyFont="1" applyFill="1" applyBorder="1" applyAlignment="1">
      <alignment horizontal="center" vertical="center" wrapText="1"/>
    </xf>
    <xf numFmtId="10" fontId="25" fillId="14" borderId="2" xfId="1" applyNumberFormat="1" applyFont="1" applyFill="1" applyBorder="1" applyAlignment="1">
      <alignment horizontal="center" vertical="center" wrapText="1"/>
    </xf>
    <xf numFmtId="0" fontId="25" fillId="14" borderId="2" xfId="0" applyFont="1" applyFill="1" applyBorder="1" applyAlignment="1">
      <alignment horizontal="center" vertical="center" wrapText="1"/>
    </xf>
    <xf numFmtId="9" fontId="25" fillId="14" borderId="2" xfId="0" applyNumberFormat="1" applyFont="1" applyFill="1" applyBorder="1" applyAlignment="1">
      <alignment horizontal="center" vertical="center" wrapText="1"/>
    </xf>
    <xf numFmtId="10" fontId="35" fillId="14" borderId="2" xfId="1" applyNumberFormat="1" applyFont="1" applyFill="1" applyBorder="1" applyAlignment="1">
      <alignment horizontal="center" vertical="center" wrapText="1"/>
    </xf>
    <xf numFmtId="10" fontId="29" fillId="15" borderId="2" xfId="1" applyNumberFormat="1" applyFont="1" applyFill="1" applyBorder="1" applyAlignment="1">
      <alignment horizontal="center" vertical="center" wrapText="1"/>
    </xf>
    <xf numFmtId="0" fontId="20" fillId="18" borderId="2" xfId="0" applyFont="1" applyFill="1" applyBorder="1" applyAlignment="1">
      <alignment horizontal="center" vertical="center" wrapText="1"/>
    </xf>
    <xf numFmtId="0" fontId="35" fillId="18" borderId="2" xfId="0" applyFont="1" applyFill="1" applyBorder="1" applyAlignment="1">
      <alignment horizontal="center" vertical="center" wrapText="1"/>
    </xf>
    <xf numFmtId="0" fontId="24" fillId="15" borderId="17" xfId="0" applyFont="1" applyFill="1" applyBorder="1" applyAlignment="1">
      <alignment horizontal="center" vertical="center" wrapText="1"/>
    </xf>
    <xf numFmtId="0" fontId="24" fillId="15" borderId="2" xfId="0" applyFont="1" applyFill="1" applyBorder="1" applyAlignment="1">
      <alignment horizontal="center" vertical="center" wrapText="1"/>
    </xf>
    <xf numFmtId="0" fontId="37" fillId="15" borderId="2" xfId="0" applyFont="1" applyFill="1" applyBorder="1" applyAlignment="1">
      <alignment horizontal="center" vertical="center" wrapText="1"/>
    </xf>
    <xf numFmtId="0" fontId="38" fillId="15" borderId="2" xfId="0" applyFont="1" applyFill="1" applyBorder="1" applyAlignment="1">
      <alignment horizontal="center" vertical="center" wrapText="1"/>
    </xf>
    <xf numFmtId="0" fontId="24" fillId="15" borderId="8" xfId="0" applyFont="1" applyFill="1" applyBorder="1" applyAlignment="1">
      <alignment horizontal="center" vertical="center" wrapText="1"/>
    </xf>
    <xf numFmtId="0" fontId="37" fillId="15" borderId="8" xfId="0" applyFont="1" applyFill="1" applyBorder="1" applyAlignment="1">
      <alignment horizontal="center" vertical="center" wrapText="1"/>
    </xf>
    <xf numFmtId="0" fontId="38" fillId="15" borderId="8" xfId="0" applyFont="1" applyFill="1" applyBorder="1" applyAlignment="1">
      <alignment horizontal="center" vertical="center" wrapText="1"/>
    </xf>
    <xf numFmtId="9" fontId="25" fillId="15" borderId="17" xfId="0" applyNumberFormat="1" applyFont="1" applyFill="1" applyBorder="1" applyAlignment="1">
      <alignment horizontal="center" vertical="center" wrapText="1"/>
    </xf>
    <xf numFmtId="0" fontId="31" fillId="15" borderId="8" xfId="0" applyFont="1" applyFill="1" applyBorder="1" applyAlignment="1">
      <alignment horizontal="center" vertical="center" wrapText="1"/>
    </xf>
    <xf numFmtId="0" fontId="25" fillId="0" borderId="8" xfId="0" quotePrefix="1" applyFont="1" applyBorder="1" applyAlignment="1">
      <alignment horizontal="center" vertical="center" wrapText="1"/>
    </xf>
    <xf numFmtId="10" fontId="35" fillId="0" borderId="2" xfId="1" applyNumberFormat="1" applyFont="1" applyBorder="1" applyAlignment="1">
      <alignment horizontal="center" vertical="center" wrapText="1"/>
    </xf>
    <xf numFmtId="0" fontId="35" fillId="0" borderId="19" xfId="0" applyFont="1" applyBorder="1" applyAlignment="1">
      <alignment horizontal="center" vertical="center" wrapText="1"/>
    </xf>
    <xf numFmtId="0" fontId="25" fillId="0" borderId="19" xfId="0" applyFont="1" applyBorder="1" applyAlignment="1">
      <alignment horizontal="center" vertical="center" wrapText="1"/>
    </xf>
    <xf numFmtId="164" fontId="25" fillId="0" borderId="2" xfId="0" applyNumberFormat="1" applyFont="1" applyFill="1" applyBorder="1" applyAlignment="1">
      <alignment horizontal="center" vertical="center" wrapText="1"/>
    </xf>
    <xf numFmtId="2" fontId="25" fillId="15" borderId="2" xfId="0" applyNumberFormat="1" applyFont="1" applyFill="1" applyBorder="1" applyAlignment="1">
      <alignment horizontal="center" vertical="center" wrapText="1"/>
    </xf>
    <xf numFmtId="2" fontId="25" fillId="19" borderId="2" xfId="0" applyNumberFormat="1" applyFont="1" applyFill="1" applyBorder="1" applyAlignment="1">
      <alignment horizontal="center" vertical="center" wrapText="1"/>
    </xf>
    <xf numFmtId="4" fontId="25" fillId="18" borderId="17" xfId="0" applyNumberFormat="1" applyFont="1" applyFill="1" applyBorder="1" applyAlignment="1">
      <alignment horizontal="center" vertical="center" wrapText="1"/>
    </xf>
    <xf numFmtId="10" fontId="25" fillId="15" borderId="8" xfId="0" applyNumberFormat="1" applyFont="1" applyFill="1" applyBorder="1" applyAlignment="1">
      <alignment horizontal="center" vertical="center" wrapText="1"/>
    </xf>
    <xf numFmtId="164" fontId="0" fillId="0" borderId="2"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15" fillId="0" borderId="6" xfId="0" applyNumberFormat="1" applyFont="1" applyBorder="1" applyAlignment="1">
      <alignment horizontal="center" vertical="center" wrapText="1"/>
    </xf>
    <xf numFmtId="10" fontId="17" fillId="6" borderId="2" xfId="0" applyNumberFormat="1" applyFont="1" applyFill="1" applyBorder="1" applyAlignment="1">
      <alignment horizontal="center" vertical="center" wrapText="1"/>
    </xf>
    <xf numFmtId="14" fontId="0" fillId="10" borderId="0" xfId="0" applyNumberFormat="1" applyFill="1"/>
    <xf numFmtId="10" fontId="17" fillId="10" borderId="8" xfId="0" applyNumberFormat="1" applyFont="1" applyFill="1" applyBorder="1" applyAlignment="1">
      <alignment horizontal="center" vertical="center" wrapText="1"/>
    </xf>
    <xf numFmtId="0" fontId="31" fillId="19" borderId="2" xfId="0" applyFont="1" applyFill="1" applyBorder="1" applyAlignment="1">
      <alignment horizontal="center" vertical="center" wrapText="1"/>
    </xf>
    <xf numFmtId="0" fontId="39" fillId="19" borderId="2" xfId="0" applyFont="1" applyFill="1" applyBorder="1" applyAlignment="1">
      <alignment horizontal="center" vertical="center" wrapText="1"/>
    </xf>
    <xf numFmtId="10" fontId="31" fillId="16" borderId="2" xfId="0" applyNumberFormat="1" applyFont="1" applyFill="1" applyBorder="1" applyAlignment="1">
      <alignment horizontal="center" vertical="center" wrapText="1"/>
    </xf>
    <xf numFmtId="9" fontId="15" fillId="10" borderId="2" xfId="0" applyNumberFormat="1" applyFont="1" applyFill="1" applyBorder="1" applyAlignment="1">
      <alignment horizontal="center" vertical="center" wrapText="1"/>
    </xf>
    <xf numFmtId="2" fontId="25" fillId="18" borderId="2" xfId="0" applyNumberFormat="1" applyFont="1" applyFill="1" applyBorder="1" applyAlignment="1">
      <alignment horizontal="center" vertical="center" wrapText="1"/>
    </xf>
    <xf numFmtId="166" fontId="17" fillId="15" borderId="2" xfId="0" applyNumberFormat="1" applyFont="1" applyFill="1" applyBorder="1" applyAlignment="1">
      <alignment horizontal="center" vertical="center" wrapText="1"/>
    </xf>
    <xf numFmtId="166" fontId="15" fillId="0" borderId="2" xfId="0" applyNumberFormat="1" applyFont="1" applyBorder="1" applyAlignment="1">
      <alignment horizontal="center" vertical="center" wrapText="1"/>
    </xf>
    <xf numFmtId="9" fontId="20" fillId="16" borderId="2" xfId="0" applyNumberFormat="1" applyFont="1" applyFill="1" applyBorder="1" applyAlignment="1">
      <alignment horizontal="center" vertical="center" wrapText="1"/>
    </xf>
    <xf numFmtId="166" fontId="15" fillId="10" borderId="2" xfId="0" applyNumberFormat="1" applyFont="1" applyFill="1" applyBorder="1" applyAlignment="1">
      <alignment horizontal="center" vertical="center" wrapText="1"/>
    </xf>
    <xf numFmtId="164" fontId="15" fillId="10" borderId="2" xfId="0" applyNumberFormat="1" applyFont="1" applyFill="1" applyBorder="1" applyAlignment="1">
      <alignment horizontal="center" vertical="center" wrapText="1"/>
    </xf>
    <xf numFmtId="10" fontId="15" fillId="0" borderId="2" xfId="0" applyNumberFormat="1" applyFont="1" applyBorder="1" applyAlignment="1">
      <alignment horizontal="center" vertical="center" wrapText="1"/>
    </xf>
    <xf numFmtId="0" fontId="17" fillId="0" borderId="17" xfId="0" applyFont="1" applyFill="1" applyBorder="1" applyAlignment="1">
      <alignment horizontal="center" vertical="center" wrapText="1"/>
    </xf>
    <xf numFmtId="9" fontId="17" fillId="0" borderId="17" xfId="0" applyNumberFormat="1" applyFont="1" applyFill="1" applyBorder="1" applyAlignment="1">
      <alignment horizontal="center" vertical="center" wrapText="1"/>
    </xf>
    <xf numFmtId="9" fontId="17" fillId="0" borderId="2" xfId="0" applyNumberFormat="1" applyFont="1" applyFill="1" applyBorder="1" applyAlignment="1">
      <alignment horizontal="center" vertical="center" wrapText="1"/>
    </xf>
    <xf numFmtId="10" fontId="17" fillId="0" borderId="2" xfId="1" applyNumberFormat="1" applyFont="1" applyFill="1" applyBorder="1" applyAlignment="1">
      <alignment horizontal="center" vertical="center" wrapText="1"/>
    </xf>
    <xf numFmtId="10" fontId="17" fillId="0" borderId="8" xfId="0" applyNumberFormat="1" applyFont="1" applyBorder="1" applyAlignment="1">
      <alignment horizontal="center" vertical="center" wrapText="1"/>
    </xf>
    <xf numFmtId="9" fontId="31" fillId="15" borderId="8" xfId="0" applyNumberFormat="1" applyFont="1" applyFill="1" applyBorder="1" applyAlignment="1">
      <alignment horizontal="center" vertical="center" wrapText="1"/>
    </xf>
    <xf numFmtId="10" fontId="0" fillId="0" borderId="2" xfId="0" applyNumberFormat="1" applyBorder="1" applyAlignment="1">
      <alignment horizontal="center" vertical="center"/>
    </xf>
    <xf numFmtId="10" fontId="0" fillId="2" borderId="2" xfId="0" applyNumberFormat="1" applyFill="1" applyBorder="1" applyAlignment="1">
      <alignment horizontal="center" vertical="center"/>
    </xf>
    <xf numFmtId="0" fontId="20" fillId="19" borderId="2" xfId="0" applyFont="1" applyFill="1" applyBorder="1" applyAlignment="1">
      <alignment horizontal="center" vertical="center" wrapText="1"/>
    </xf>
    <xf numFmtId="0" fontId="43" fillId="15" borderId="2" xfId="0" applyFont="1" applyFill="1" applyBorder="1" applyAlignment="1">
      <alignment wrapText="1"/>
    </xf>
    <xf numFmtId="10" fontId="31" fillId="19" borderId="2" xfId="1" applyNumberFormat="1" applyFont="1" applyFill="1" applyBorder="1" applyAlignment="1">
      <alignment horizontal="center" vertical="center" wrapText="1"/>
    </xf>
    <xf numFmtId="9" fontId="31" fillId="19"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8" xfId="0" applyFont="1" applyFill="1" applyBorder="1" applyAlignment="1">
      <alignment horizontal="center" vertical="center"/>
    </xf>
    <xf numFmtId="10" fontId="0" fillId="0" borderId="0" xfId="0" applyNumberFormat="1" applyAlignment="1">
      <alignment horizontal="center" vertical="center" wrapText="1"/>
    </xf>
    <xf numFmtId="0" fontId="7" fillId="5" borderId="2"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17" fillId="15" borderId="2"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17" fillId="15" borderId="17" xfId="0" applyFont="1" applyFill="1" applyBorder="1" applyAlignment="1">
      <alignment horizontal="center" vertical="center" wrapText="1"/>
    </xf>
    <xf numFmtId="0" fontId="17" fillId="6" borderId="2" xfId="0" applyFont="1" applyFill="1" applyBorder="1" applyAlignment="1">
      <alignment horizontal="center" vertical="center" wrapText="1"/>
    </xf>
    <xf numFmtId="14" fontId="7" fillId="5" borderId="2"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wrapText="1"/>
    </xf>
    <xf numFmtId="0" fontId="36" fillId="0" borderId="8" xfId="0" applyFont="1" applyBorder="1" applyAlignment="1">
      <alignment horizontal="center" vertical="center" wrapText="1"/>
    </xf>
    <xf numFmtId="0" fontId="20" fillId="0" borderId="8" xfId="0" applyFont="1" applyFill="1" applyBorder="1" applyAlignment="1">
      <alignment wrapText="1"/>
    </xf>
    <xf numFmtId="9" fontId="25" fillId="16" borderId="2" xfId="1" applyFont="1" applyFill="1" applyBorder="1" applyAlignment="1">
      <alignment horizontal="center" vertical="center" wrapText="1"/>
    </xf>
    <xf numFmtId="9" fontId="25" fillId="24" borderId="2" xfId="1" applyFont="1" applyFill="1" applyBorder="1" applyAlignment="1">
      <alignment horizontal="center" vertical="center" wrapText="1"/>
    </xf>
    <xf numFmtId="9" fontId="25" fillId="16" borderId="8" xfId="0" applyNumberFormat="1" applyFont="1" applyFill="1" applyBorder="1" applyAlignment="1">
      <alignment horizontal="center" vertical="center" wrapText="1"/>
    </xf>
    <xf numFmtId="0" fontId="20" fillId="16" borderId="8" xfId="0" applyFont="1" applyFill="1" applyBorder="1" applyAlignment="1">
      <alignment wrapText="1"/>
    </xf>
    <xf numFmtId="10" fontId="25" fillId="21" borderId="2" xfId="0" applyNumberFormat="1" applyFont="1" applyFill="1" applyBorder="1" applyAlignment="1">
      <alignment horizontal="center" vertical="center" wrapText="1"/>
    </xf>
    <xf numFmtId="49" fontId="9" fillId="8" borderId="8" xfId="0" applyNumberFormat="1" applyFont="1" applyFill="1" applyBorder="1" applyAlignment="1">
      <alignment horizontal="center" vertical="center" wrapText="1"/>
    </xf>
    <xf numFmtId="49" fontId="9" fillId="8" borderId="8" xfId="0" applyNumberFormat="1" applyFont="1" applyFill="1" applyBorder="1" applyAlignment="1">
      <alignment horizontal="center" vertical="center" wrapText="1"/>
    </xf>
    <xf numFmtId="0" fontId="17" fillId="25" borderId="17" xfId="0" applyFont="1" applyFill="1" applyBorder="1" applyAlignment="1">
      <alignment horizontal="center" vertical="center" wrapText="1"/>
    </xf>
    <xf numFmtId="14" fontId="17" fillId="25" borderId="17" xfId="0" applyNumberFormat="1" applyFont="1" applyFill="1" applyBorder="1" applyAlignment="1">
      <alignment horizontal="center" vertical="center" wrapText="1"/>
    </xf>
    <xf numFmtId="0" fontId="15" fillId="25" borderId="17" xfId="0" applyFont="1" applyFill="1" applyBorder="1" applyAlignment="1">
      <alignment horizontal="center" vertical="center" wrapText="1"/>
    </xf>
    <xf numFmtId="0" fontId="17" fillId="25" borderId="17" xfId="0" applyFont="1" applyFill="1" applyBorder="1" applyAlignment="1">
      <alignment wrapText="1"/>
    </xf>
    <xf numFmtId="0" fontId="17" fillId="25" borderId="2" xfId="0" applyFont="1" applyFill="1" applyBorder="1" applyAlignment="1">
      <alignment horizontal="center" vertical="center" wrapText="1"/>
    </xf>
    <xf numFmtId="14" fontId="17" fillId="25" borderId="2" xfId="0" applyNumberFormat="1" applyFont="1" applyFill="1" applyBorder="1" applyAlignment="1">
      <alignment horizontal="center" vertical="center" wrapText="1"/>
    </xf>
    <xf numFmtId="0" fontId="15" fillId="25" borderId="2" xfId="0" applyFont="1" applyFill="1" applyBorder="1" applyAlignment="1">
      <alignment horizontal="center" vertical="center" wrapText="1"/>
    </xf>
    <xf numFmtId="0" fontId="17" fillId="25" borderId="2" xfId="0" applyFont="1" applyFill="1" applyBorder="1" applyAlignment="1">
      <alignment wrapText="1"/>
    </xf>
    <xf numFmtId="9" fontId="17" fillId="25" borderId="2" xfId="0" applyNumberFormat="1" applyFont="1" applyFill="1" applyBorder="1" applyAlignment="1">
      <alignment horizontal="center" vertical="center" wrapText="1"/>
    </xf>
    <xf numFmtId="10" fontId="17" fillId="25" borderId="2" xfId="1" applyNumberFormat="1" applyFont="1" applyFill="1" applyBorder="1" applyAlignment="1">
      <alignment horizontal="center" vertical="center" wrapText="1"/>
    </xf>
    <xf numFmtId="9" fontId="17" fillId="25" borderId="2" xfId="1" applyFont="1" applyFill="1" applyBorder="1" applyAlignment="1">
      <alignment horizontal="center" vertical="center" wrapText="1"/>
    </xf>
    <xf numFmtId="0" fontId="17" fillId="25" borderId="8" xfId="0" applyFont="1" applyFill="1" applyBorder="1" applyAlignment="1">
      <alignment horizontal="center" vertical="center" wrapText="1"/>
    </xf>
    <xf numFmtId="14" fontId="17" fillId="25" borderId="8" xfId="0" applyNumberFormat="1" applyFont="1" applyFill="1" applyBorder="1" applyAlignment="1">
      <alignment horizontal="center" vertical="center" wrapText="1"/>
    </xf>
    <xf numFmtId="0" fontId="15" fillId="25" borderId="8" xfId="0" applyFont="1" applyFill="1" applyBorder="1" applyAlignment="1">
      <alignment horizontal="center" vertical="center" wrapText="1"/>
    </xf>
    <xf numFmtId="9" fontId="17" fillId="25" borderId="8" xfId="0" applyNumberFormat="1" applyFont="1" applyFill="1" applyBorder="1" applyAlignment="1">
      <alignment horizontal="center" vertical="center" wrapText="1"/>
    </xf>
    <xf numFmtId="0" fontId="17" fillId="25" borderId="8" xfId="0" applyFont="1" applyFill="1" applyBorder="1" applyAlignment="1">
      <alignment wrapText="1"/>
    </xf>
    <xf numFmtId="10" fontId="17" fillId="25" borderId="8" xfId="1" applyNumberFormat="1" applyFont="1" applyFill="1" applyBorder="1" applyAlignment="1">
      <alignment horizontal="center" vertical="center" wrapText="1"/>
    </xf>
    <xf numFmtId="9" fontId="17" fillId="25" borderId="8" xfId="1" applyFont="1" applyFill="1" applyBorder="1" applyAlignment="1">
      <alignment horizontal="center" vertical="center" wrapText="1"/>
    </xf>
    <xf numFmtId="0" fontId="17" fillId="2" borderId="17" xfId="0" applyFont="1" applyFill="1" applyBorder="1" applyAlignment="1">
      <alignment horizontal="center" vertical="center" wrapText="1"/>
    </xf>
    <xf numFmtId="14" fontId="17" fillId="2" borderId="17" xfId="0" applyNumberFormat="1"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7" fillId="2" borderId="17" xfId="0" applyFont="1" applyFill="1" applyBorder="1" applyAlignment="1">
      <alignment horizontal="left" vertical="center" wrapText="1"/>
    </xf>
    <xf numFmtId="0" fontId="17" fillId="2" borderId="17" xfId="0" applyFont="1" applyFill="1" applyBorder="1" applyAlignment="1">
      <alignment wrapText="1"/>
    </xf>
    <xf numFmtId="0" fontId="17" fillId="2" borderId="44" xfId="0" applyFont="1" applyFill="1" applyBorder="1" applyAlignment="1">
      <alignment wrapText="1"/>
    </xf>
    <xf numFmtId="0" fontId="15" fillId="2" borderId="2"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17" fillId="2" borderId="2" xfId="0" applyFont="1" applyFill="1" applyBorder="1" applyAlignment="1">
      <alignment wrapText="1"/>
    </xf>
    <xf numFmtId="0" fontId="17" fillId="2" borderId="3"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7" fillId="2" borderId="13" xfId="0" applyFont="1" applyFill="1" applyBorder="1" applyAlignment="1">
      <alignment wrapText="1"/>
    </xf>
    <xf numFmtId="0" fontId="17" fillId="2" borderId="2" xfId="0" applyFont="1" applyFill="1" applyBorder="1" applyAlignment="1">
      <alignment vertical="center" wrapText="1"/>
    </xf>
    <xf numFmtId="0" fontId="34"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9" fontId="17" fillId="2" borderId="2" xfId="0" applyNumberFormat="1" applyFont="1" applyFill="1" applyBorder="1" applyAlignment="1">
      <alignment horizontal="center" vertical="center" wrapText="1"/>
    </xf>
    <xf numFmtId="9" fontId="17" fillId="2" borderId="3" xfId="0" applyNumberFormat="1" applyFont="1" applyFill="1" applyBorder="1" applyAlignment="1">
      <alignment horizontal="center" vertical="center" wrapText="1"/>
    </xf>
    <xf numFmtId="10" fontId="17" fillId="2" borderId="2" xfId="1" applyNumberFormat="1" applyFont="1" applyFill="1" applyBorder="1" applyAlignment="1">
      <alignment horizontal="center" vertical="center" wrapText="1"/>
    </xf>
    <xf numFmtId="0" fontId="17" fillId="2" borderId="9" xfId="0" applyFont="1" applyFill="1" applyBorder="1" applyAlignment="1">
      <alignment wrapText="1"/>
    </xf>
    <xf numFmtId="0" fontId="17" fillId="2" borderId="6" xfId="0" applyFont="1" applyFill="1" applyBorder="1" applyAlignment="1">
      <alignment wrapText="1"/>
    </xf>
    <xf numFmtId="9" fontId="17" fillId="2" borderId="9" xfId="0" applyNumberFormat="1" applyFont="1" applyFill="1" applyBorder="1" applyAlignment="1">
      <alignment horizontal="center" vertical="center" wrapText="1"/>
    </xf>
    <xf numFmtId="0" fontId="17" fillId="2" borderId="11" xfId="0" applyFont="1" applyFill="1" applyBorder="1" applyAlignment="1">
      <alignment wrapText="1"/>
    </xf>
    <xf numFmtId="1" fontId="17" fillId="2" borderId="2" xfId="0" applyNumberFormat="1" applyFont="1" applyFill="1" applyBorder="1" applyAlignment="1">
      <alignment horizontal="center" vertical="center" wrapText="1"/>
    </xf>
    <xf numFmtId="1" fontId="17" fillId="2" borderId="2" xfId="0" applyNumberFormat="1" applyFont="1" applyFill="1" applyBorder="1" applyAlignment="1">
      <alignment horizontal="left" vertical="center" wrapText="1"/>
    </xf>
    <xf numFmtId="1" fontId="17" fillId="2" borderId="2" xfId="0" applyNumberFormat="1" applyFont="1" applyFill="1" applyBorder="1" applyAlignment="1">
      <alignment wrapText="1"/>
    </xf>
    <xf numFmtId="0" fontId="17" fillId="26" borderId="2" xfId="0" applyFont="1" applyFill="1" applyBorder="1" applyAlignment="1">
      <alignment horizontal="center" vertical="center" wrapText="1"/>
    </xf>
    <xf numFmtId="0" fontId="17" fillId="26" borderId="2" xfId="0" applyFont="1" applyFill="1" applyBorder="1" applyAlignment="1">
      <alignment wrapText="1"/>
    </xf>
    <xf numFmtId="0" fontId="17" fillId="26" borderId="32" xfId="0" applyFont="1" applyFill="1" applyBorder="1" applyAlignment="1">
      <alignment horizontal="center" vertical="center" wrapText="1"/>
    </xf>
    <xf numFmtId="0" fontId="17" fillId="26" borderId="42" xfId="0" applyFont="1" applyFill="1" applyBorder="1" applyAlignment="1">
      <alignment wrapText="1"/>
    </xf>
    <xf numFmtId="0" fontId="17" fillId="26" borderId="38" xfId="0" applyFont="1" applyFill="1" applyBorder="1" applyAlignment="1">
      <alignment horizontal="center" vertical="center" wrapText="1"/>
    </xf>
    <xf numFmtId="0" fontId="17" fillId="26" borderId="43" xfId="0" applyFont="1" applyFill="1" applyBorder="1" applyAlignment="1">
      <alignment wrapText="1"/>
    </xf>
    <xf numFmtId="10" fontId="17" fillId="2" borderId="2" xfId="0" applyNumberFormat="1" applyFont="1" applyFill="1" applyBorder="1" applyAlignment="1">
      <alignment horizontal="center" vertical="center" wrapText="1"/>
    </xf>
    <xf numFmtId="10" fontId="17" fillId="26" borderId="2" xfId="1" applyNumberFormat="1" applyFont="1" applyFill="1" applyBorder="1" applyAlignment="1">
      <alignment horizontal="center" vertical="center" wrapText="1"/>
    </xf>
    <xf numFmtId="9" fontId="17" fillId="2" borderId="2" xfId="1" applyFont="1" applyFill="1" applyBorder="1" applyAlignment="1">
      <alignment horizontal="center" vertical="center" wrapText="1"/>
    </xf>
    <xf numFmtId="0" fontId="17" fillId="2" borderId="8" xfId="0" applyFont="1" applyFill="1" applyBorder="1" applyAlignment="1">
      <alignment horizontal="center" vertical="center" wrapText="1"/>
    </xf>
    <xf numFmtId="14" fontId="17" fillId="2" borderId="8" xfId="0" applyNumberFormat="1" applyFont="1" applyFill="1" applyBorder="1" applyAlignment="1">
      <alignment horizontal="center" vertical="center" wrapText="1"/>
    </xf>
    <xf numFmtId="10" fontId="17" fillId="2" borderId="8"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10" fontId="17" fillId="2" borderId="8" xfId="1" applyNumberFormat="1" applyFont="1" applyFill="1" applyBorder="1" applyAlignment="1">
      <alignment horizontal="center" vertical="center" wrapText="1"/>
    </xf>
    <xf numFmtId="0" fontId="17" fillId="2" borderId="8" xfId="0" applyFont="1" applyFill="1" applyBorder="1" applyAlignment="1">
      <alignment horizontal="left" vertical="center" wrapText="1"/>
    </xf>
    <xf numFmtId="9" fontId="17" fillId="2" borderId="8" xfId="0" applyNumberFormat="1" applyFont="1" applyFill="1" applyBorder="1" applyAlignment="1">
      <alignment horizontal="center" vertical="center" wrapText="1"/>
    </xf>
    <xf numFmtId="0" fontId="17" fillId="2" borderId="8" xfId="0" applyFont="1" applyFill="1" applyBorder="1" applyAlignment="1">
      <alignment wrapText="1"/>
    </xf>
    <xf numFmtId="10" fontId="17" fillId="26" borderId="8" xfId="1" applyNumberFormat="1" applyFont="1" applyFill="1" applyBorder="1" applyAlignment="1">
      <alignment horizontal="center" vertical="center" wrapText="1"/>
    </xf>
    <xf numFmtId="0" fontId="17" fillId="26" borderId="8" xfId="0" applyFont="1" applyFill="1" applyBorder="1" applyAlignment="1">
      <alignment wrapText="1"/>
    </xf>
    <xf numFmtId="9" fontId="17" fillId="2" borderId="8" xfId="1" applyFont="1" applyFill="1" applyBorder="1" applyAlignment="1">
      <alignment horizontal="center" vertical="center" wrapText="1"/>
    </xf>
    <xf numFmtId="0" fontId="17" fillId="26" borderId="39"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7" fillId="25" borderId="26" xfId="0" applyFont="1" applyFill="1" applyBorder="1" applyAlignment="1">
      <alignment wrapText="1"/>
    </xf>
    <xf numFmtId="0" fontId="15" fillId="25" borderId="22" xfId="0" applyFont="1" applyFill="1" applyBorder="1" applyAlignment="1">
      <alignment horizontal="center" vertical="center" wrapText="1"/>
    </xf>
    <xf numFmtId="0" fontId="17" fillId="25" borderId="3" xfId="0" applyFont="1" applyFill="1" applyBorder="1" applyAlignment="1">
      <alignment horizontal="center" vertical="center" wrapText="1"/>
    </xf>
    <xf numFmtId="0" fontId="17" fillId="25" borderId="13" xfId="0" applyFont="1" applyFill="1" applyBorder="1" applyAlignment="1">
      <alignment wrapText="1"/>
    </xf>
    <xf numFmtId="0" fontId="15" fillId="25" borderId="18" xfId="0" applyFont="1" applyFill="1" applyBorder="1" applyAlignment="1">
      <alignment horizontal="center" vertical="center" wrapText="1"/>
    </xf>
    <xf numFmtId="0" fontId="17" fillId="27" borderId="2" xfId="0" applyFont="1" applyFill="1" applyBorder="1" applyAlignment="1">
      <alignment horizontal="center" vertical="center" wrapText="1"/>
    </xf>
    <xf numFmtId="0" fontId="17" fillId="27" borderId="2" xfId="0" applyFont="1" applyFill="1" applyBorder="1" applyAlignment="1">
      <alignment wrapText="1"/>
    </xf>
    <xf numFmtId="0" fontId="17" fillId="27" borderId="3" xfId="0" applyFont="1" applyFill="1" applyBorder="1" applyAlignment="1">
      <alignment horizontal="center" vertical="center" wrapText="1"/>
    </xf>
    <xf numFmtId="0" fontId="17" fillId="27" borderId="13" xfId="0" applyFont="1" applyFill="1" applyBorder="1" applyAlignment="1">
      <alignment wrapText="1"/>
    </xf>
    <xf numFmtId="9" fontId="17" fillId="27" borderId="2" xfId="1" applyFont="1" applyFill="1" applyBorder="1" applyAlignment="1">
      <alignment horizontal="center" vertical="center" wrapText="1"/>
    </xf>
    <xf numFmtId="9" fontId="17" fillId="25" borderId="3" xfId="0" applyNumberFormat="1" applyFont="1" applyFill="1" applyBorder="1" applyAlignment="1">
      <alignment horizontal="center" vertical="center" wrapText="1"/>
    </xf>
    <xf numFmtId="0" fontId="15" fillId="25" borderId="27" xfId="0" applyFont="1" applyFill="1" applyBorder="1" applyAlignment="1">
      <alignment horizontal="center" vertical="center" wrapText="1"/>
    </xf>
    <xf numFmtId="9" fontId="17" fillId="26" borderId="2" xfId="0" applyNumberFormat="1"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15" fillId="2" borderId="3"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7" fillId="25" borderId="3" xfId="0" applyFont="1" applyFill="1" applyBorder="1" applyAlignment="1">
      <alignment wrapText="1"/>
    </xf>
    <xf numFmtId="0" fontId="17" fillId="25" borderId="0" xfId="0" applyFont="1" applyFill="1" applyBorder="1" applyAlignment="1">
      <alignment wrapText="1"/>
    </xf>
    <xf numFmtId="0" fontId="17" fillId="25" borderId="2" xfId="0" quotePrefix="1" applyFont="1" applyFill="1" applyBorder="1" applyAlignment="1">
      <alignment wrapText="1"/>
    </xf>
    <xf numFmtId="0" fontId="26" fillId="25" borderId="2" xfId="0" applyFont="1" applyFill="1" applyBorder="1" applyAlignment="1">
      <alignment horizontal="center" vertical="center" wrapText="1"/>
    </xf>
    <xf numFmtId="0" fontId="17" fillId="25" borderId="9" xfId="0" applyFont="1" applyFill="1" applyBorder="1" applyAlignment="1">
      <alignment wrapText="1"/>
    </xf>
    <xf numFmtId="0" fontId="17" fillId="25" borderId="32" xfId="0" applyFont="1" applyFill="1" applyBorder="1" applyAlignment="1">
      <alignment wrapText="1"/>
    </xf>
    <xf numFmtId="0" fontId="17" fillId="25" borderId="38" xfId="0" applyFont="1" applyFill="1" applyBorder="1" applyAlignment="1">
      <alignment wrapText="1"/>
    </xf>
    <xf numFmtId="0" fontId="17" fillId="25" borderId="39" xfId="0" applyFont="1" applyFill="1" applyBorder="1" applyAlignment="1">
      <alignment wrapText="1"/>
    </xf>
    <xf numFmtId="0" fontId="17" fillId="2" borderId="17" xfId="0" applyFont="1" applyFill="1" applyBorder="1" applyAlignment="1">
      <alignment vertical="center" wrapText="1"/>
    </xf>
    <xf numFmtId="0" fontId="17" fillId="26" borderId="6" xfId="0" applyFont="1" applyFill="1" applyBorder="1" applyAlignment="1">
      <alignment wrapText="1"/>
    </xf>
    <xf numFmtId="0" fontId="17" fillId="26" borderId="13" xfId="0" applyFont="1" applyFill="1" applyBorder="1" applyAlignment="1">
      <alignment wrapText="1"/>
    </xf>
    <xf numFmtId="0" fontId="17" fillId="2" borderId="2" xfId="0" applyFont="1" applyFill="1" applyBorder="1" applyAlignment="1">
      <alignment horizontal="justify" vertical="center" wrapText="1"/>
    </xf>
    <xf numFmtId="49" fontId="17" fillId="2" borderId="2" xfId="2" applyNumberFormat="1" applyFont="1" applyFill="1" applyBorder="1" applyAlignment="1">
      <alignment horizontal="justify" vertical="center" wrapText="1"/>
    </xf>
    <xf numFmtId="49" fontId="17" fillId="2" borderId="2" xfId="2" applyNumberFormat="1" applyFont="1" applyFill="1" applyBorder="1" applyAlignment="1">
      <alignment vertical="center" wrapText="1"/>
    </xf>
    <xf numFmtId="0" fontId="17" fillId="2" borderId="2" xfId="2" applyNumberFormat="1" applyFont="1" applyFill="1" applyBorder="1" applyAlignment="1">
      <alignment horizontal="justify" vertical="center" wrapText="1"/>
    </xf>
    <xf numFmtId="0" fontId="17" fillId="2" borderId="8" xfId="0" applyFont="1" applyFill="1" applyBorder="1" applyAlignment="1">
      <alignment horizontal="justify" vertical="center" wrapText="1"/>
    </xf>
    <xf numFmtId="10" fontId="17" fillId="25" borderId="17" xfId="1" applyNumberFormat="1" applyFont="1" applyFill="1" applyBorder="1" applyAlignment="1">
      <alignment horizontal="center" vertical="center" wrapText="1"/>
    </xf>
    <xf numFmtId="9" fontId="17" fillId="25" borderId="17" xfId="0" applyNumberFormat="1" applyFont="1" applyFill="1" applyBorder="1" applyAlignment="1">
      <alignment horizontal="center" vertical="center" wrapText="1"/>
    </xf>
    <xf numFmtId="9" fontId="17" fillId="25" borderId="28" xfId="0" applyNumberFormat="1" applyFont="1" applyFill="1" applyBorder="1" applyAlignment="1">
      <alignment horizontal="center" vertical="center" wrapText="1"/>
    </xf>
    <xf numFmtId="0" fontId="17" fillId="25" borderId="30" xfId="0" applyFont="1" applyFill="1" applyBorder="1" applyAlignment="1">
      <alignment wrapText="1"/>
    </xf>
    <xf numFmtId="0" fontId="17" fillId="2" borderId="6" xfId="0" applyFont="1" applyFill="1" applyBorder="1" applyAlignment="1"/>
    <xf numFmtId="0" fontId="17" fillId="2" borderId="3" xfId="0" applyFont="1" applyFill="1" applyBorder="1" applyAlignment="1">
      <alignment horizontal="center" vertical="center"/>
    </xf>
    <xf numFmtId="0" fontId="17" fillId="2" borderId="13" xfId="0" applyFont="1" applyFill="1" applyBorder="1" applyAlignment="1"/>
    <xf numFmtId="9" fontId="17" fillId="2" borderId="3" xfId="0" applyNumberFormat="1" applyFont="1" applyFill="1" applyBorder="1" applyAlignment="1">
      <alignment horizontal="center" vertical="center"/>
    </xf>
    <xf numFmtId="0" fontId="17" fillId="25" borderId="17" xfId="0" applyFont="1" applyFill="1" applyBorder="1" applyAlignment="1">
      <alignment horizontal="left" vertical="top" wrapText="1"/>
    </xf>
    <xf numFmtId="9" fontId="17" fillId="25" borderId="17" xfId="1" applyFont="1" applyFill="1" applyBorder="1" applyAlignment="1">
      <alignment horizontal="center" vertical="center" wrapText="1"/>
    </xf>
    <xf numFmtId="0" fontId="17" fillId="25" borderId="8" xfId="0" applyFont="1" applyFill="1" applyBorder="1" applyAlignment="1">
      <alignment horizontal="center" vertical="center"/>
    </xf>
    <xf numFmtId="0" fontId="17" fillId="2" borderId="26" xfId="0" applyFont="1" applyFill="1" applyBorder="1" applyAlignment="1">
      <alignment wrapText="1"/>
    </xf>
    <xf numFmtId="0" fontId="17" fillId="2" borderId="28" xfId="0" applyFont="1" applyFill="1" applyBorder="1" applyAlignment="1">
      <alignment horizontal="center" vertical="center" wrapText="1"/>
    </xf>
    <xf numFmtId="0" fontId="17" fillId="2" borderId="30" xfId="0" applyFont="1" applyFill="1" applyBorder="1" applyAlignment="1">
      <alignment wrapText="1"/>
    </xf>
    <xf numFmtId="10" fontId="17" fillId="25" borderId="2" xfId="0" applyNumberFormat="1" applyFont="1" applyFill="1" applyBorder="1" applyAlignment="1">
      <alignment horizontal="center" vertical="center" wrapText="1"/>
    </xf>
    <xf numFmtId="2" fontId="17" fillId="25" borderId="2" xfId="0" applyNumberFormat="1" applyFont="1" applyFill="1" applyBorder="1" applyAlignment="1">
      <alignment horizontal="center" vertical="center" wrapText="1"/>
    </xf>
    <xf numFmtId="2" fontId="17" fillId="25" borderId="3" xfId="0" applyNumberFormat="1" applyFont="1" applyFill="1" applyBorder="1" applyAlignment="1">
      <alignment horizontal="center" vertical="center" wrapText="1"/>
    </xf>
    <xf numFmtId="0" fontId="17" fillId="25" borderId="40" xfId="0" applyFont="1" applyFill="1" applyBorder="1" applyAlignment="1">
      <alignment wrapText="1"/>
    </xf>
    <xf numFmtId="0" fontId="17" fillId="26" borderId="17" xfId="0" applyFont="1" applyFill="1" applyBorder="1" applyAlignment="1">
      <alignment horizontal="center" vertical="center" wrapText="1"/>
    </xf>
    <xf numFmtId="0" fontId="17" fillId="26" borderId="17" xfId="0" applyFont="1" applyFill="1" applyBorder="1" applyAlignment="1">
      <alignment wrapText="1"/>
    </xf>
    <xf numFmtId="0" fontId="17" fillId="26" borderId="26" xfId="0" applyFont="1" applyFill="1" applyBorder="1" applyAlignment="1">
      <alignment wrapText="1"/>
    </xf>
    <xf numFmtId="0" fontId="17" fillId="26" borderId="3" xfId="0" applyFont="1" applyFill="1" applyBorder="1" applyAlignment="1">
      <alignment horizontal="center" vertical="center" wrapText="1"/>
    </xf>
    <xf numFmtId="0" fontId="17" fillId="26" borderId="2" xfId="0" applyFont="1" applyFill="1" applyBorder="1" applyAlignment="1">
      <alignment vertical="center" wrapText="1"/>
    </xf>
    <xf numFmtId="9" fontId="17" fillId="26" borderId="2" xfId="1" applyFont="1" applyFill="1" applyBorder="1" applyAlignment="1">
      <alignment horizontal="center" vertical="center" wrapText="1"/>
    </xf>
    <xf numFmtId="0" fontId="17" fillId="28" borderId="2" xfId="0" applyFont="1" applyFill="1" applyBorder="1" applyAlignment="1">
      <alignment horizontal="center" vertical="center" wrapText="1"/>
    </xf>
    <xf numFmtId="0" fontId="17" fillId="28" borderId="6" xfId="0" applyFont="1" applyFill="1" applyBorder="1" applyAlignment="1">
      <alignment wrapText="1"/>
    </xf>
    <xf numFmtId="0" fontId="17" fillId="28" borderId="3" xfId="0" applyFont="1" applyFill="1" applyBorder="1" applyAlignment="1">
      <alignment horizontal="center" vertical="center" wrapText="1"/>
    </xf>
    <xf numFmtId="0" fontId="17" fillId="28" borderId="13" xfId="0" applyFont="1" applyFill="1" applyBorder="1" applyAlignment="1">
      <alignment wrapText="1"/>
    </xf>
    <xf numFmtId="10" fontId="17" fillId="26" borderId="2" xfId="0" applyNumberFormat="1" applyFont="1" applyFill="1" applyBorder="1" applyAlignment="1">
      <alignment horizontal="center" vertical="center" wrapText="1"/>
    </xf>
    <xf numFmtId="0" fontId="17" fillId="29" borderId="13" xfId="0" applyFont="1" applyFill="1" applyBorder="1" applyAlignment="1">
      <alignment wrapText="1"/>
    </xf>
    <xf numFmtId="0" fontId="17" fillId="26" borderId="8" xfId="0" applyFont="1" applyFill="1" applyBorder="1" applyAlignment="1">
      <alignment horizontal="center" vertical="center" wrapText="1"/>
    </xf>
    <xf numFmtId="0" fontId="17" fillId="28" borderId="28" xfId="0" applyFont="1" applyFill="1" applyBorder="1" applyAlignment="1">
      <alignment horizontal="center" vertical="center" wrapText="1"/>
    </xf>
    <xf numFmtId="0" fontId="17" fillId="28" borderId="30" xfId="0" applyFont="1" applyFill="1" applyBorder="1" applyAlignment="1">
      <alignment wrapText="1"/>
    </xf>
    <xf numFmtId="0" fontId="17" fillId="25" borderId="6" xfId="0" applyFont="1" applyFill="1" applyBorder="1" applyAlignment="1">
      <alignment wrapText="1"/>
    </xf>
    <xf numFmtId="3" fontId="17" fillId="2" borderId="17" xfId="0" applyNumberFormat="1" applyFont="1" applyFill="1" applyBorder="1" applyAlignment="1">
      <alignment horizontal="center" vertical="center" wrapText="1"/>
    </xf>
    <xf numFmtId="0" fontId="26" fillId="2" borderId="17" xfId="0" applyFont="1" applyFill="1" applyBorder="1" applyAlignment="1">
      <alignment horizontal="center" vertical="center" wrapText="1"/>
    </xf>
    <xf numFmtId="0" fontId="17" fillId="2" borderId="17" xfId="0" applyFont="1" applyFill="1" applyBorder="1" applyAlignment="1">
      <alignment horizontal="center" wrapText="1"/>
    </xf>
    <xf numFmtId="0" fontId="17" fillId="2" borderId="36" xfId="0" applyFont="1" applyFill="1" applyBorder="1" applyAlignment="1">
      <alignment wrapText="1"/>
    </xf>
    <xf numFmtId="0" fontId="26" fillId="2" borderId="2" xfId="0" applyFont="1" applyFill="1" applyBorder="1" applyAlignment="1">
      <alignment horizontal="center" vertical="center" wrapText="1"/>
    </xf>
    <xf numFmtId="0" fontId="17" fillId="2" borderId="2" xfId="0" applyFont="1" applyFill="1" applyBorder="1" applyAlignment="1">
      <alignment horizontal="center" wrapText="1"/>
    </xf>
    <xf numFmtId="0" fontId="26" fillId="2" borderId="3" xfId="0" applyFont="1" applyFill="1" applyBorder="1" applyAlignment="1">
      <alignment horizontal="center" vertical="center" wrapText="1"/>
    </xf>
    <xf numFmtId="0" fontId="17" fillId="2" borderId="37" xfId="0" applyFont="1" applyFill="1" applyBorder="1" applyAlignment="1">
      <alignment wrapText="1"/>
    </xf>
    <xf numFmtId="0" fontId="26" fillId="2" borderId="9"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17" fillId="2" borderId="8" xfId="0" applyFont="1" applyFill="1" applyBorder="1" applyAlignment="1">
      <alignment horizontal="center" wrapText="1"/>
    </xf>
    <xf numFmtId="0" fontId="17" fillId="2" borderId="31" xfId="0" applyFont="1" applyFill="1" applyBorder="1" applyAlignment="1">
      <alignment wrapText="1"/>
    </xf>
    <xf numFmtId="0" fontId="14" fillId="25" borderId="22" xfId="0" applyFont="1" applyFill="1" applyBorder="1" applyAlignment="1">
      <alignment horizontal="center" vertical="center" wrapText="1"/>
    </xf>
    <xf numFmtId="0" fontId="14" fillId="25" borderId="18" xfId="0" applyFont="1" applyFill="1" applyBorder="1" applyAlignment="1">
      <alignment horizontal="center" vertical="center" wrapText="1"/>
    </xf>
    <xf numFmtId="164" fontId="17" fillId="25" borderId="8" xfId="0" applyNumberFormat="1" applyFont="1" applyFill="1" applyBorder="1" applyAlignment="1">
      <alignment horizontal="center" vertical="center" wrapText="1"/>
    </xf>
    <xf numFmtId="0" fontId="14" fillId="25" borderId="27" xfId="0" applyFont="1" applyFill="1" applyBorder="1" applyAlignment="1">
      <alignment horizontal="center" vertical="center" wrapText="1"/>
    </xf>
    <xf numFmtId="10" fontId="17" fillId="2" borderId="17" xfId="1" applyNumberFormat="1" applyFont="1" applyFill="1" applyBorder="1" applyAlignment="1">
      <alignment horizontal="center" vertical="center" wrapText="1"/>
    </xf>
    <xf numFmtId="9" fontId="17" fillId="2" borderId="17" xfId="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0" fontId="17" fillId="2" borderId="41" xfId="0" applyFont="1" applyFill="1" applyBorder="1" applyAlignment="1">
      <alignment wrapText="1"/>
    </xf>
    <xf numFmtId="10" fontId="15" fillId="2" borderId="2" xfId="0" applyNumberFormat="1" applyFont="1" applyFill="1" applyBorder="1" applyAlignment="1">
      <alignment horizontal="center" vertical="center" wrapText="1"/>
    </xf>
    <xf numFmtId="0" fontId="17" fillId="25" borderId="36" xfId="0" applyFont="1" applyFill="1" applyBorder="1" applyAlignment="1">
      <alignment wrapText="1"/>
    </xf>
    <xf numFmtId="0" fontId="17" fillId="25" borderId="37" xfId="0" applyFont="1" applyFill="1" applyBorder="1" applyAlignment="1">
      <alignment wrapText="1"/>
    </xf>
    <xf numFmtId="164" fontId="17" fillId="25" borderId="2" xfId="0" applyNumberFormat="1" applyFont="1" applyFill="1" applyBorder="1" applyAlignment="1">
      <alignment horizontal="center" vertical="center" wrapText="1"/>
    </xf>
    <xf numFmtId="10" fontId="17" fillId="25" borderId="8" xfId="0" applyNumberFormat="1" applyFont="1" applyFill="1" applyBorder="1" applyAlignment="1">
      <alignment horizontal="center" vertical="center" wrapText="1"/>
    </xf>
    <xf numFmtId="10" fontId="17" fillId="25" borderId="28" xfId="0" applyNumberFormat="1" applyFont="1" applyFill="1" applyBorder="1" applyAlignment="1">
      <alignment horizontal="center" vertical="center" wrapText="1"/>
    </xf>
    <xf numFmtId="0" fontId="17" fillId="25" borderId="31" xfId="0" applyFont="1" applyFill="1" applyBorder="1" applyAlignment="1">
      <alignment wrapText="1"/>
    </xf>
    <xf numFmtId="10" fontId="17" fillId="2" borderId="17" xfId="0" applyNumberFormat="1" applyFont="1" applyFill="1" applyBorder="1" applyAlignment="1">
      <alignment horizontal="center" vertical="center" wrapText="1"/>
    </xf>
    <xf numFmtId="9" fontId="17" fillId="2" borderId="8" xfId="0" applyNumberFormat="1" applyFont="1" applyFill="1" applyBorder="1" applyAlignment="1">
      <alignment horizontal="center" vertical="center"/>
    </xf>
    <xf numFmtId="10" fontId="17" fillId="2" borderId="8" xfId="1" applyNumberFormat="1" applyFont="1" applyFill="1" applyBorder="1" applyAlignment="1">
      <alignment horizontal="center" vertical="center"/>
    </xf>
    <xf numFmtId="0" fontId="17" fillId="25" borderId="8" xfId="0" quotePrefix="1" applyFont="1" applyFill="1" applyBorder="1" applyAlignment="1">
      <alignment wrapText="1"/>
    </xf>
    <xf numFmtId="0" fontId="17" fillId="25" borderId="28" xfId="0" applyFont="1" applyFill="1" applyBorder="1" applyAlignment="1">
      <alignment horizontal="center" vertical="center" wrapText="1"/>
    </xf>
    <xf numFmtId="0" fontId="0" fillId="2" borderId="17" xfId="0" applyFill="1" applyBorder="1"/>
    <xf numFmtId="0" fontId="0" fillId="2" borderId="2" xfId="0" applyFill="1" applyBorder="1"/>
    <xf numFmtId="0" fontId="0" fillId="2" borderId="8" xfId="0" applyFill="1" applyBorder="1"/>
    <xf numFmtId="0" fontId="0" fillId="25" borderId="17" xfId="0" applyFill="1" applyBorder="1" applyAlignment="1">
      <alignment horizontal="center" vertical="center"/>
    </xf>
    <xf numFmtId="0" fontId="17" fillId="25" borderId="17" xfId="0" applyFont="1" applyFill="1" applyBorder="1" applyAlignment="1">
      <alignment horizontal="center" vertical="center"/>
    </xf>
    <xf numFmtId="10" fontId="17" fillId="25" borderId="17" xfId="0" applyNumberFormat="1" applyFont="1" applyFill="1" applyBorder="1" applyAlignment="1">
      <alignment horizontal="center" vertical="center" wrapText="1"/>
    </xf>
    <xf numFmtId="0" fontId="0" fillId="25" borderId="17" xfId="0" applyFill="1" applyBorder="1" applyAlignment="1">
      <alignment horizontal="center" vertical="center" wrapText="1"/>
    </xf>
    <xf numFmtId="0" fontId="0" fillId="25" borderId="2" xfId="0" applyFill="1" applyBorder="1" applyAlignment="1">
      <alignment horizontal="center" vertical="center"/>
    </xf>
    <xf numFmtId="9" fontId="0" fillId="25" borderId="2" xfId="0" applyNumberFormat="1" applyFill="1" applyBorder="1" applyAlignment="1">
      <alignment horizontal="center" vertical="center" wrapText="1"/>
    </xf>
    <xf numFmtId="0" fontId="17" fillId="25" borderId="2" xfId="0" applyFont="1" applyFill="1" applyBorder="1" applyAlignment="1">
      <alignment horizontal="center" vertical="center"/>
    </xf>
    <xf numFmtId="0" fontId="0" fillId="25" borderId="2" xfId="0" applyFill="1" applyBorder="1" applyAlignment="1">
      <alignment horizontal="center" vertical="center" wrapText="1"/>
    </xf>
    <xf numFmtId="165" fontId="17" fillId="25" borderId="2" xfId="0" applyNumberFormat="1" applyFont="1" applyFill="1" applyBorder="1" applyAlignment="1">
      <alignment horizontal="center" vertical="center" wrapText="1"/>
    </xf>
    <xf numFmtId="0" fontId="17" fillId="25" borderId="3" xfId="0" applyFont="1" applyFill="1" applyBorder="1" applyAlignment="1">
      <alignment horizontal="center" vertical="center"/>
    </xf>
    <xf numFmtId="0" fontId="17" fillId="25" borderId="11" xfId="0" applyFont="1" applyFill="1" applyBorder="1" applyAlignment="1">
      <alignment wrapText="1"/>
    </xf>
    <xf numFmtId="9" fontId="17" fillId="25" borderId="2" xfId="0" applyNumberFormat="1" applyFont="1" applyFill="1" applyBorder="1" applyAlignment="1">
      <alignment horizontal="center" vertical="center"/>
    </xf>
    <xf numFmtId="0" fontId="17" fillId="25" borderId="19" xfId="0" applyFont="1" applyFill="1" applyBorder="1" applyAlignment="1">
      <alignment horizontal="center" vertical="center" wrapText="1"/>
    </xf>
    <xf numFmtId="0" fontId="0" fillId="25" borderId="19" xfId="0" applyFill="1" applyBorder="1" applyAlignment="1">
      <alignment horizontal="center" vertical="center"/>
    </xf>
    <xf numFmtId="14" fontId="17" fillId="25" borderId="19" xfId="0" applyNumberFormat="1" applyFont="1" applyFill="1" applyBorder="1" applyAlignment="1">
      <alignment horizontal="center" vertical="center" wrapText="1"/>
    </xf>
    <xf numFmtId="0" fontId="0" fillId="25" borderId="19" xfId="0" applyFill="1" applyBorder="1" applyAlignment="1">
      <alignment horizontal="center" vertical="center" wrapText="1"/>
    </xf>
    <xf numFmtId="0" fontId="17" fillId="25" borderId="19" xfId="0" applyFont="1" applyFill="1" applyBorder="1" applyAlignment="1">
      <alignment horizontal="center" vertical="center"/>
    </xf>
    <xf numFmtId="0" fontId="17" fillId="25" borderId="19" xfId="0" applyFont="1" applyFill="1" applyBorder="1" applyAlignment="1">
      <alignment wrapText="1"/>
    </xf>
    <xf numFmtId="0" fontId="15" fillId="25" borderId="20" xfId="0" applyFont="1" applyFill="1" applyBorder="1" applyAlignment="1">
      <alignment horizontal="center" vertical="center" wrapText="1"/>
    </xf>
    <xf numFmtId="0" fontId="53" fillId="4" borderId="8" xfId="0" applyFont="1" applyFill="1" applyBorder="1" applyAlignment="1">
      <alignment horizontal="center" vertical="center"/>
    </xf>
    <xf numFmtId="0" fontId="53" fillId="4" borderId="8" xfId="0" applyFont="1" applyFill="1" applyBorder="1" applyAlignment="1">
      <alignment horizontal="center" vertical="center" wrapText="1"/>
    </xf>
    <xf numFmtId="0" fontId="53" fillId="7" borderId="8" xfId="0" applyFont="1" applyFill="1" applyBorder="1" applyAlignment="1">
      <alignment horizontal="center" vertical="center"/>
    </xf>
    <xf numFmtId="0" fontId="53" fillId="7" borderId="8" xfId="0" applyFont="1" applyFill="1" applyBorder="1" applyAlignment="1">
      <alignment horizontal="center" vertical="center" wrapText="1"/>
    </xf>
    <xf numFmtId="164" fontId="0" fillId="25" borderId="2" xfId="0" applyNumberFormat="1" applyFill="1" applyBorder="1" applyAlignment="1">
      <alignment horizontal="center" vertical="center" wrapText="1"/>
    </xf>
    <xf numFmtId="164" fontId="0" fillId="25" borderId="6" xfId="0" applyNumberFormat="1" applyFill="1" applyBorder="1" applyAlignment="1">
      <alignment horizontal="center" vertical="center" wrapText="1"/>
    </xf>
    <xf numFmtId="0" fontId="56" fillId="2" borderId="2" xfId="0" applyFont="1" applyFill="1" applyBorder="1" applyAlignment="1">
      <alignment horizontal="center" vertical="center" wrapText="1"/>
    </xf>
    <xf numFmtId="14" fontId="56" fillId="2" borderId="2" xfId="0" applyNumberFormat="1" applyFont="1" applyFill="1" applyBorder="1" applyAlignment="1">
      <alignment horizontal="center" vertical="center" wrapText="1"/>
    </xf>
    <xf numFmtId="14" fontId="7" fillId="5" borderId="2" xfId="0" applyNumberFormat="1" applyFont="1" applyFill="1" applyBorder="1" applyAlignment="1">
      <alignment horizontal="center" vertical="center"/>
    </xf>
    <xf numFmtId="49" fontId="9" fillId="8" borderId="2" xfId="0" applyNumberFormat="1" applyFont="1" applyFill="1" applyBorder="1" applyAlignment="1">
      <alignment horizontal="center" vertical="center" wrapText="1"/>
    </xf>
    <xf numFmtId="49" fontId="9" fillId="8" borderId="8"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10" borderId="12"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15" xfId="0" applyFont="1" applyFill="1" applyBorder="1" applyAlignment="1">
      <alignment horizontal="center" vertical="center"/>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16" xfId="0" applyFont="1" applyFill="1" applyBorder="1" applyAlignment="1">
      <alignment horizontal="center" vertical="center"/>
    </xf>
    <xf numFmtId="0" fontId="4" fillId="10" borderId="13" xfId="0" applyFont="1" applyFill="1" applyBorder="1" applyAlignment="1">
      <alignment horizontal="center" vertical="center"/>
    </xf>
    <xf numFmtId="49" fontId="9" fillId="6" borderId="2" xfId="0" applyNumberFormat="1" applyFont="1" applyFill="1" applyBorder="1" applyAlignment="1">
      <alignment horizontal="center" vertical="center" wrapText="1"/>
    </xf>
    <xf numFmtId="49" fontId="9" fillId="6" borderId="8"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8" borderId="2" xfId="0" applyFont="1" applyFill="1" applyBorder="1" applyAlignment="1">
      <alignment horizontal="center" vertical="center"/>
    </xf>
    <xf numFmtId="49" fontId="16" fillId="0" borderId="21" xfId="0" applyNumberFormat="1" applyFont="1" applyBorder="1" applyAlignment="1">
      <alignment horizontal="center" vertical="center" textRotation="90" wrapText="1"/>
    </xf>
    <xf numFmtId="49" fontId="16" fillId="0" borderId="23" xfId="0" applyNumberFormat="1" applyFont="1" applyBorder="1" applyAlignment="1">
      <alignment horizontal="center" vertical="center" textRotation="90" wrapText="1"/>
    </xf>
    <xf numFmtId="49" fontId="16" fillId="0" borderId="25" xfId="0" applyNumberFormat="1" applyFont="1" applyBorder="1" applyAlignment="1">
      <alignment horizontal="center" vertical="center" textRotation="90" wrapText="1"/>
    </xf>
    <xf numFmtId="0" fontId="17"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7" fillId="18" borderId="2" xfId="0" applyFont="1" applyFill="1" applyBorder="1" applyAlignment="1">
      <alignment horizontal="center" vertical="center"/>
    </xf>
    <xf numFmtId="0" fontId="7" fillId="10" borderId="2" xfId="0" applyFont="1" applyFill="1" applyBorder="1" applyAlignment="1">
      <alignment horizontal="center" vertical="center"/>
    </xf>
    <xf numFmtId="0" fontId="7" fillId="10" borderId="8" xfId="0" applyFont="1" applyFill="1" applyBorder="1" applyAlignment="1">
      <alignment horizontal="center" vertical="center"/>
    </xf>
    <xf numFmtId="0" fontId="13" fillId="5"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5" borderId="2" xfId="0" applyFont="1" applyFill="1" applyBorder="1" applyAlignment="1">
      <alignment horizontal="center" vertical="center"/>
    </xf>
    <xf numFmtId="0" fontId="26" fillId="15" borderId="21" xfId="0" applyFont="1" applyFill="1" applyBorder="1" applyAlignment="1">
      <alignment horizontal="center" vertical="center" textRotation="90" wrapText="1"/>
    </xf>
    <xf numFmtId="0" fontId="26" fillId="15" borderId="23" xfId="0" applyFont="1" applyFill="1" applyBorder="1" applyAlignment="1">
      <alignment horizontal="center" vertical="center" textRotation="90" wrapText="1"/>
    </xf>
    <xf numFmtId="0" fontId="26" fillId="15" borderId="25" xfId="0" applyFont="1" applyFill="1" applyBorder="1" applyAlignment="1">
      <alignment horizontal="center" vertical="center" textRotation="90" wrapText="1"/>
    </xf>
    <xf numFmtId="0" fontId="17" fillId="15" borderId="17" xfId="0"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15" borderId="8" xfId="0" applyFont="1" applyFill="1" applyBorder="1" applyAlignment="1">
      <alignment horizontal="center" vertical="center" wrapText="1"/>
    </xf>
    <xf numFmtId="0" fontId="17" fillId="15" borderId="21" xfId="0" applyFont="1" applyFill="1" applyBorder="1" applyAlignment="1">
      <alignment horizontal="center" vertical="center" textRotation="90" wrapText="1"/>
    </xf>
    <xf numFmtId="0" fontId="17" fillId="15" borderId="23" xfId="0" applyFont="1" applyFill="1" applyBorder="1" applyAlignment="1">
      <alignment horizontal="center" vertical="center" textRotation="90" wrapText="1"/>
    </xf>
    <xf numFmtId="0" fontId="17" fillId="15" borderId="25" xfId="0" applyFont="1" applyFill="1" applyBorder="1" applyAlignment="1">
      <alignment horizontal="center" vertical="center" textRotation="90" wrapText="1"/>
    </xf>
    <xf numFmtId="0" fontId="11" fillId="15" borderId="17"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26" fillId="0" borderId="21" xfId="0" applyFont="1" applyBorder="1" applyAlignment="1">
      <alignment horizontal="center" vertical="center" textRotation="90" wrapText="1"/>
    </xf>
    <xf numFmtId="0" fontId="26" fillId="0" borderId="23" xfId="0" applyFont="1" applyBorder="1" applyAlignment="1">
      <alignment horizontal="center" vertical="center" textRotation="90" wrapText="1"/>
    </xf>
    <xf numFmtId="0" fontId="26" fillId="0" borderId="25" xfId="0" applyFont="1" applyBorder="1" applyAlignment="1">
      <alignment horizontal="center" vertical="center" textRotation="90" wrapText="1"/>
    </xf>
    <xf numFmtId="0" fontId="17" fillId="6" borderId="2" xfId="0" applyFont="1" applyFill="1" applyBorder="1" applyAlignment="1">
      <alignment horizontal="center" vertical="center" wrapText="1"/>
    </xf>
    <xf numFmtId="0" fontId="17" fillId="0" borderId="21" xfId="0" applyFont="1" applyBorder="1" applyAlignment="1">
      <alignment horizontal="center" vertical="center" textRotation="90" wrapText="1"/>
    </xf>
    <xf numFmtId="0" fontId="17" fillId="0" borderId="23" xfId="0" applyFont="1" applyBorder="1" applyAlignment="1">
      <alignment horizontal="center" vertical="center" textRotation="90" wrapText="1"/>
    </xf>
    <xf numFmtId="0" fontId="17" fillId="0" borderId="25" xfId="0" applyFont="1" applyBorder="1" applyAlignment="1">
      <alignment horizontal="center" vertical="center" textRotation="90" wrapText="1"/>
    </xf>
    <xf numFmtId="0" fontId="0" fillId="15" borderId="21" xfId="0" applyFill="1" applyBorder="1" applyAlignment="1">
      <alignment horizontal="center" vertical="center" textRotation="90" wrapText="1"/>
    </xf>
    <xf numFmtId="0" fontId="0" fillId="15" borderId="23" xfId="0" applyFill="1" applyBorder="1" applyAlignment="1">
      <alignment horizontal="center" vertical="center" textRotation="90" wrapText="1"/>
    </xf>
    <xf numFmtId="0" fontId="0" fillId="15" borderId="25" xfId="0" applyFill="1" applyBorder="1" applyAlignment="1">
      <alignment horizontal="center" vertical="center" textRotation="90" wrapText="1"/>
    </xf>
    <xf numFmtId="0" fontId="0" fillId="0" borderId="21" xfId="0" applyBorder="1" applyAlignment="1">
      <alignment horizontal="center" vertical="center" textRotation="90"/>
    </xf>
    <xf numFmtId="0" fontId="0" fillId="0" borderId="23" xfId="0" applyBorder="1" applyAlignment="1">
      <alignment horizontal="center" vertical="center" textRotation="90"/>
    </xf>
    <xf numFmtId="0" fontId="0" fillId="0" borderId="24" xfId="0" applyBorder="1" applyAlignment="1">
      <alignment horizontal="center" vertical="center" textRotation="90"/>
    </xf>
    <xf numFmtId="0" fontId="15" fillId="0" borderId="17" xfId="0" applyFont="1" applyBorder="1" applyAlignment="1">
      <alignment horizontal="center" vertical="center" wrapText="1"/>
    </xf>
    <xf numFmtId="0" fontId="15" fillId="0" borderId="2" xfId="0" applyFont="1" applyBorder="1" applyAlignment="1">
      <alignment horizontal="center" vertical="center" wrapText="1"/>
    </xf>
    <xf numFmtId="0" fontId="23" fillId="12" borderId="2" xfId="0" applyFont="1" applyFill="1" applyBorder="1" applyAlignment="1">
      <alignment horizontal="center"/>
    </xf>
    <xf numFmtId="0" fontId="23" fillId="12" borderId="8" xfId="0" applyFont="1" applyFill="1" applyBorder="1" applyAlignment="1">
      <alignment horizontal="center"/>
    </xf>
    <xf numFmtId="0" fontId="17" fillId="2" borderId="2"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28" xfId="0" applyFont="1" applyFill="1" applyBorder="1" applyAlignment="1">
      <alignment horizontal="center" vertical="center"/>
    </xf>
    <xf numFmtId="14" fontId="8" fillId="4" borderId="8" xfId="0" applyNumberFormat="1" applyFont="1" applyFill="1" applyBorder="1" applyAlignment="1">
      <alignment horizontal="center" vertical="center"/>
    </xf>
    <xf numFmtId="14" fontId="8" fillId="4" borderId="28" xfId="0" applyNumberFormat="1" applyFont="1" applyFill="1" applyBorder="1" applyAlignment="1">
      <alignment horizontal="center" vertical="center"/>
    </xf>
    <xf numFmtId="0" fontId="54" fillId="25" borderId="45" xfId="0" applyNumberFormat="1" applyFont="1" applyFill="1" applyBorder="1" applyAlignment="1">
      <alignment horizontal="center" vertical="center" textRotation="90" wrapText="1"/>
    </xf>
    <xf numFmtId="49" fontId="54" fillId="25" borderId="9" xfId="0" applyNumberFormat="1" applyFont="1" applyFill="1" applyBorder="1" applyAlignment="1">
      <alignment horizontal="center" vertical="center" textRotation="90" wrapText="1"/>
    </xf>
    <xf numFmtId="49" fontId="54" fillId="25" borderId="28" xfId="0" applyNumberFormat="1" applyFont="1" applyFill="1" applyBorder="1" applyAlignment="1">
      <alignment horizontal="center" vertical="center" textRotation="90" wrapText="1"/>
    </xf>
    <xf numFmtId="0" fontId="0" fillId="25" borderId="21" xfId="0" applyFill="1" applyBorder="1" applyAlignment="1">
      <alignment horizontal="center" vertical="center" textRotation="90"/>
    </xf>
    <xf numFmtId="0" fontId="0" fillId="25" borderId="23" xfId="0" applyFill="1" applyBorder="1" applyAlignment="1">
      <alignment horizontal="center" vertical="center" textRotation="90"/>
    </xf>
    <xf numFmtId="0" fontId="0" fillId="25" borderId="24" xfId="0" applyFill="1" applyBorder="1" applyAlignment="1">
      <alignment horizontal="center" vertical="center" textRotation="90"/>
    </xf>
    <xf numFmtId="0" fontId="0" fillId="2" borderId="21" xfId="0" applyFill="1" applyBorder="1" applyAlignment="1">
      <alignment horizontal="center" vertical="center" textRotation="90" wrapText="1"/>
    </xf>
    <xf numFmtId="0" fontId="0" fillId="2" borderId="23" xfId="0" applyFill="1" applyBorder="1" applyAlignment="1">
      <alignment horizontal="center" vertical="center" textRotation="90" wrapText="1"/>
    </xf>
    <xf numFmtId="0" fontId="0" fillId="2" borderId="25" xfId="0" applyFill="1" applyBorder="1" applyAlignment="1">
      <alignment horizontal="center" vertical="center" textRotation="90" wrapText="1"/>
    </xf>
    <xf numFmtId="0" fontId="17" fillId="2" borderId="8" xfId="0" applyFont="1" applyFill="1" applyBorder="1" applyAlignment="1">
      <alignment horizontal="center" vertical="center" wrapText="1"/>
    </xf>
    <xf numFmtId="0" fontId="17" fillId="25" borderId="21" xfId="0" applyFont="1" applyFill="1" applyBorder="1" applyAlignment="1">
      <alignment horizontal="center" vertical="center" textRotation="90" wrapText="1"/>
    </xf>
    <xf numFmtId="0" fontId="17" fillId="25" borderId="23" xfId="0" applyFont="1" applyFill="1" applyBorder="1" applyAlignment="1">
      <alignment horizontal="center" vertical="center" textRotation="90" wrapText="1"/>
    </xf>
    <xf numFmtId="0" fontId="17" fillId="25" borderId="25" xfId="0" applyFont="1" applyFill="1" applyBorder="1" applyAlignment="1">
      <alignment horizontal="center" vertical="center" textRotation="90" wrapText="1"/>
    </xf>
    <xf numFmtId="0" fontId="17" fillId="2" borderId="21" xfId="0" applyFont="1" applyFill="1" applyBorder="1" applyAlignment="1">
      <alignment horizontal="center" vertical="center" textRotation="90" wrapText="1"/>
    </xf>
    <xf numFmtId="0" fontId="17" fillId="2" borderId="25" xfId="0" applyFont="1" applyFill="1" applyBorder="1" applyAlignment="1">
      <alignment horizontal="center" vertical="center" textRotation="90" wrapText="1"/>
    </xf>
    <xf numFmtId="0" fontId="17" fillId="25" borderId="17" xfId="0" applyFont="1" applyFill="1" applyBorder="1" applyAlignment="1">
      <alignment horizontal="center" vertical="center" wrapText="1"/>
    </xf>
    <xf numFmtId="0" fontId="17" fillId="25" borderId="2" xfId="0" applyFont="1" applyFill="1" applyBorder="1" applyAlignment="1">
      <alignment horizontal="center" vertical="center" wrapText="1"/>
    </xf>
    <xf numFmtId="0" fontId="17" fillId="25" borderId="8" xfId="0" applyFont="1" applyFill="1" applyBorder="1" applyAlignment="1">
      <alignment horizontal="center" vertical="center" wrapText="1"/>
    </xf>
    <xf numFmtId="0" fontId="15" fillId="25" borderId="17" xfId="0" applyFont="1" applyFill="1" applyBorder="1" applyAlignment="1">
      <alignment horizontal="center" vertical="center" wrapText="1"/>
    </xf>
    <xf numFmtId="0" fontId="15" fillId="25" borderId="2"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7" fillId="2" borderId="23" xfId="0" applyFont="1" applyFill="1" applyBorder="1" applyAlignment="1">
      <alignment horizontal="center" vertical="center" textRotation="90" wrapText="1"/>
    </xf>
    <xf numFmtId="0" fontId="22" fillId="25" borderId="45" xfId="0" applyFont="1" applyFill="1" applyBorder="1" applyAlignment="1">
      <alignment horizontal="center" vertical="center" textRotation="90" wrapText="1"/>
    </xf>
    <xf numFmtId="0" fontId="22" fillId="25" borderId="9" xfId="0" applyFont="1" applyFill="1" applyBorder="1" applyAlignment="1">
      <alignment horizontal="center" vertical="center" textRotation="90" wrapText="1"/>
    </xf>
    <xf numFmtId="0" fontId="22" fillId="25" borderId="28" xfId="0" applyFont="1" applyFill="1" applyBorder="1" applyAlignment="1">
      <alignment horizontal="center" vertical="center" textRotation="90" wrapText="1"/>
    </xf>
    <xf numFmtId="0" fontId="26" fillId="2" borderId="21" xfId="0" applyFont="1" applyFill="1" applyBorder="1" applyAlignment="1">
      <alignment horizontal="center" vertical="center" textRotation="90" wrapText="1"/>
    </xf>
    <xf numFmtId="0" fontId="26" fillId="2" borderId="23" xfId="0" applyFont="1" applyFill="1" applyBorder="1" applyAlignment="1">
      <alignment horizontal="center" vertical="center" textRotation="90" wrapText="1"/>
    </xf>
    <xf numFmtId="0" fontId="26" fillId="2" borderId="25" xfId="0" applyFont="1" applyFill="1" applyBorder="1" applyAlignment="1">
      <alignment horizontal="center" vertical="center" textRotation="90" wrapText="1"/>
    </xf>
    <xf numFmtId="0" fontId="26" fillId="25" borderId="21" xfId="0" applyFont="1" applyFill="1" applyBorder="1" applyAlignment="1">
      <alignment horizontal="center" vertical="center" textRotation="90" wrapText="1"/>
    </xf>
    <xf numFmtId="0" fontId="26" fillId="25" borderId="23" xfId="0" applyFont="1" applyFill="1" applyBorder="1" applyAlignment="1">
      <alignment horizontal="center" vertical="center" textRotation="90" wrapText="1"/>
    </xf>
    <xf numFmtId="0" fontId="26" fillId="25" borderId="25" xfId="0" applyFont="1" applyFill="1" applyBorder="1" applyAlignment="1">
      <alignment horizontal="center" vertical="center" textRotation="90" wrapText="1"/>
    </xf>
    <xf numFmtId="49" fontId="16" fillId="25" borderId="21" xfId="0" applyNumberFormat="1" applyFont="1" applyFill="1" applyBorder="1" applyAlignment="1">
      <alignment horizontal="center" vertical="center" textRotation="90" wrapText="1"/>
    </xf>
    <xf numFmtId="49" fontId="16" fillId="25" borderId="23" xfId="0" applyNumberFormat="1" applyFont="1" applyFill="1" applyBorder="1" applyAlignment="1">
      <alignment horizontal="center" vertical="center" textRotation="90" wrapText="1"/>
    </xf>
    <xf numFmtId="49" fontId="16" fillId="25" borderId="25" xfId="0" applyNumberFormat="1" applyFont="1" applyFill="1" applyBorder="1" applyAlignment="1">
      <alignment horizontal="center" vertical="center" textRotation="90" wrapText="1"/>
    </xf>
    <xf numFmtId="0" fontId="4" fillId="25" borderId="12" xfId="0" applyFont="1" applyFill="1" applyBorder="1" applyAlignment="1">
      <alignment horizontal="center" vertical="center"/>
    </xf>
    <xf numFmtId="0" fontId="4" fillId="25" borderId="14" xfId="0" applyFont="1" applyFill="1" applyBorder="1" applyAlignment="1">
      <alignment horizontal="center" vertical="center"/>
    </xf>
    <xf numFmtId="0" fontId="4" fillId="25" borderId="10" xfId="0" applyFont="1" applyFill="1" applyBorder="1" applyAlignment="1">
      <alignment horizontal="center" vertical="center"/>
    </xf>
    <xf numFmtId="0" fontId="4" fillId="25" borderId="15" xfId="0" applyFont="1" applyFill="1" applyBorder="1" applyAlignment="1">
      <alignment horizontal="center" vertical="center"/>
    </xf>
    <xf numFmtId="0" fontId="4" fillId="25" borderId="0" xfId="0" applyFont="1" applyFill="1" applyBorder="1" applyAlignment="1">
      <alignment horizontal="center" vertical="center"/>
    </xf>
    <xf numFmtId="0" fontId="4" fillId="25" borderId="0" xfId="0" applyFont="1" applyFill="1" applyAlignment="1">
      <alignment horizontal="center" vertical="center"/>
    </xf>
    <xf numFmtId="0" fontId="4" fillId="25" borderId="11" xfId="0" applyFont="1" applyFill="1" applyBorder="1" applyAlignment="1">
      <alignment horizontal="center" vertical="center"/>
    </xf>
    <xf numFmtId="0" fontId="4" fillId="25" borderId="7" xfId="0" applyFont="1" applyFill="1" applyBorder="1" applyAlignment="1">
      <alignment horizontal="center" vertical="center"/>
    </xf>
    <xf numFmtId="0" fontId="4" fillId="25" borderId="16" xfId="0" applyFont="1" applyFill="1" applyBorder="1" applyAlignment="1">
      <alignment horizontal="center" vertical="center"/>
    </xf>
    <xf numFmtId="0" fontId="4" fillId="25" borderId="13" xfId="0" applyFont="1" applyFill="1" applyBorder="1" applyAlignment="1">
      <alignment horizontal="center" vertical="center"/>
    </xf>
    <xf numFmtId="49" fontId="51" fillId="25" borderId="2" xfId="0" applyNumberFormat="1" applyFont="1" applyFill="1" applyBorder="1" applyAlignment="1">
      <alignment horizontal="center" vertical="center" wrapText="1"/>
    </xf>
    <xf numFmtId="49" fontId="51" fillId="25" borderId="8" xfId="0" applyNumberFormat="1" applyFont="1" applyFill="1" applyBorder="1" applyAlignment="1">
      <alignment horizontal="center" vertical="center" wrapText="1"/>
    </xf>
    <xf numFmtId="0" fontId="22" fillId="2" borderId="45" xfId="0" applyFont="1" applyFill="1" applyBorder="1" applyAlignment="1">
      <alignment horizontal="center" vertical="center" textRotation="90" wrapText="1"/>
    </xf>
    <xf numFmtId="0" fontId="22" fillId="2" borderId="28" xfId="0" applyFont="1" applyFill="1" applyBorder="1" applyAlignment="1">
      <alignment horizontal="center" vertical="center" textRotation="90" wrapText="1"/>
    </xf>
    <xf numFmtId="0" fontId="33" fillId="2" borderId="45" xfId="0" applyFont="1" applyFill="1" applyBorder="1" applyAlignment="1">
      <alignment horizontal="center" vertical="center" textRotation="90" wrapText="1"/>
    </xf>
    <xf numFmtId="0" fontId="33" fillId="2" borderId="9" xfId="0" applyFont="1" applyFill="1" applyBorder="1" applyAlignment="1">
      <alignment horizontal="center" vertical="center" textRotation="90" wrapText="1"/>
    </xf>
    <xf numFmtId="0" fontId="33" fillId="2" borderId="28" xfId="0" applyFont="1" applyFill="1" applyBorder="1" applyAlignment="1">
      <alignment horizontal="center" vertical="center" textRotation="90" wrapText="1"/>
    </xf>
    <xf numFmtId="0" fontId="33" fillId="25" borderId="45" xfId="0" applyFont="1" applyFill="1" applyBorder="1" applyAlignment="1">
      <alignment horizontal="center" vertical="center" textRotation="90"/>
    </xf>
    <xf numFmtId="0" fontId="33" fillId="25" borderId="9" xfId="0" applyFont="1" applyFill="1" applyBorder="1" applyAlignment="1">
      <alignment horizontal="center" vertical="center" textRotation="90"/>
    </xf>
    <xf numFmtId="0" fontId="33" fillId="25" borderId="28" xfId="0" applyFont="1" applyFill="1" applyBorder="1" applyAlignment="1">
      <alignment horizontal="center" vertical="center" textRotation="90"/>
    </xf>
    <xf numFmtId="0" fontId="55" fillId="30" borderId="0" xfId="0" applyFont="1" applyFill="1" applyAlignment="1">
      <alignment horizontal="center" vertical="center" wrapText="1"/>
    </xf>
    <xf numFmtId="0" fontId="55" fillId="30" borderId="0" xfId="0" applyFont="1" applyFill="1" applyAlignment="1">
      <alignment horizontal="center" vertical="center"/>
    </xf>
    <xf numFmtId="0" fontId="22" fillId="2" borderId="9" xfId="0" applyFont="1" applyFill="1" applyBorder="1" applyAlignment="1">
      <alignment horizontal="center" vertical="center" textRotation="90" wrapText="1"/>
    </xf>
    <xf numFmtId="0" fontId="54" fillId="2" borderId="45" xfId="0" applyFont="1" applyFill="1" applyBorder="1" applyAlignment="1">
      <alignment horizontal="center" vertical="center" textRotation="90" wrapText="1"/>
    </xf>
    <xf numFmtId="0" fontId="54" fillId="2" borderId="9" xfId="0" applyFont="1" applyFill="1" applyBorder="1" applyAlignment="1">
      <alignment horizontal="center" vertical="center" textRotation="90" wrapText="1"/>
    </xf>
    <xf numFmtId="0" fontId="54" fillId="2" borderId="28" xfId="0" applyFont="1" applyFill="1" applyBorder="1" applyAlignment="1">
      <alignment horizontal="center" vertical="center" textRotation="90" wrapText="1"/>
    </xf>
    <xf numFmtId="0" fontId="54" fillId="25" borderId="45" xfId="0" applyFont="1" applyFill="1" applyBorder="1" applyAlignment="1">
      <alignment horizontal="center" vertical="center" textRotation="90" wrapText="1"/>
    </xf>
    <xf numFmtId="0" fontId="54" fillId="25" borderId="9" xfId="0" applyFont="1" applyFill="1" applyBorder="1" applyAlignment="1">
      <alignment horizontal="center" vertical="center" textRotation="90" wrapText="1"/>
    </xf>
    <xf numFmtId="0" fontId="54" fillId="25" borderId="28" xfId="0" applyFont="1" applyFill="1" applyBorder="1" applyAlignment="1">
      <alignment horizontal="center" vertical="center" textRotation="90" wrapText="1"/>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cellXfs>
  <cellStyles count="3">
    <cellStyle name="Millares" xfId="2" builtinId="3"/>
    <cellStyle name="Normal" xfId="0" builtinId="0"/>
    <cellStyle name="Porcentaje" xfId="1" builtinId="5"/>
  </cellStyles>
  <dxfs count="281">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font>
        <color theme="0" tint="-0.24994659260841701"/>
      </font>
      <fill>
        <patternFill>
          <bgColor theme="1" tint="0.499984740745262"/>
        </patternFill>
      </fill>
    </dxf>
    <dxf>
      <numFmt numFmtId="14" formatCode="0.00%"/>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font>
        <color theme="0" tint="-0.24994659260841701"/>
      </font>
      <fill>
        <patternFill>
          <bgColor theme="1" tint="0.499984740745262"/>
        </patternFill>
      </fill>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'Junio MP %'!$C$3</c:f>
              <c:strCache>
                <c:ptCount val="1"/>
                <c:pt idx="0">
                  <c:v>Esperado Corte Junio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%'!$B$4:$B$14</c:f>
              <c:strCache>
                <c:ptCount val="11"/>
                <c:pt idx="0">
                  <c:v>Grupo Comunicaciones y Prensa</c:v>
                </c:pt>
                <c:pt idx="1">
                  <c:v>Dirección de energía electrica</c:v>
                </c:pt>
                <c:pt idx="2">
                  <c:v>Dirección de Formalización Minera</c:v>
                </c:pt>
                <c:pt idx="3">
                  <c:v>Dirección de hidrocarburos</c:v>
                </c:pt>
                <c:pt idx="4">
                  <c:v>Dirección de Minería Empresarial</c:v>
                </c:pt>
                <c:pt idx="5">
                  <c:v>Grupo de Ejecución  Estratégica del Sector Estractivo</c:v>
                </c:pt>
                <c:pt idx="6">
                  <c:v>Grupo de Gestión presupuestal</c:v>
                </c:pt>
                <c:pt idx="7">
                  <c:v>Grupo de Control Interno Disciplinario</c:v>
                </c:pt>
                <c:pt idx="8">
                  <c:v>Grupo de Jurisdicción  Coactiva</c:v>
                </c:pt>
                <c:pt idx="9">
                  <c:v>Grupo Gestión Contractual</c:v>
                </c:pt>
                <c:pt idx="10">
                  <c:v>Oficina de Asuntos Ambientales y Sociales</c:v>
                </c:pt>
              </c:strCache>
            </c:strRef>
          </c:cat>
          <c:val>
            <c:numRef>
              <c:f>'Junio MP %'!$C$4:$C$14</c:f>
              <c:numCache>
                <c:formatCode>0.0%</c:formatCode>
                <c:ptCount val="11"/>
                <c:pt idx="0">
                  <c:v>0.4</c:v>
                </c:pt>
                <c:pt idx="1">
                  <c:v>0.32291490104832787</c:v>
                </c:pt>
                <c:pt idx="2">
                  <c:v>0.47307471264367801</c:v>
                </c:pt>
                <c:pt idx="3">
                  <c:v>0.32022929292929292</c:v>
                </c:pt>
                <c:pt idx="4">
                  <c:v>0.31884057971014496</c:v>
                </c:pt>
                <c:pt idx="5">
                  <c:v>0.45044809902330329</c:v>
                </c:pt>
                <c:pt idx="6">
                  <c:v>0.1</c:v>
                </c:pt>
                <c:pt idx="7">
                  <c:v>0.31309523809523804</c:v>
                </c:pt>
                <c:pt idx="8">
                  <c:v>0.42499999999999999</c:v>
                </c:pt>
                <c:pt idx="9">
                  <c:v>0</c:v>
                </c:pt>
                <c:pt idx="10">
                  <c:v>0.48513513513513523</c:v>
                </c:pt>
              </c:numCache>
            </c:numRef>
          </c:val>
          <c:extLst xmlns:c16r2="http://schemas.microsoft.com/office/drawing/2015/06/chart">
            <c:ext xmlns:c16="http://schemas.microsoft.com/office/drawing/2014/chart" uri="{C3380CC4-5D6E-409C-BE32-E72D297353CC}">
              <c16:uniqueId val="{00000000-4D66-40E6-BCD6-15D031E5CB79}"/>
            </c:ext>
          </c:extLst>
        </c:ser>
        <c:ser>
          <c:idx val="1"/>
          <c:order val="1"/>
          <c:tx>
            <c:strRef>
              <c:f>'Junio MP %'!$D$3</c:f>
              <c:strCache>
                <c:ptCount val="1"/>
                <c:pt idx="0">
                  <c:v>Ejecutado Corte Junio</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%'!$B$4:$B$14</c:f>
              <c:strCache>
                <c:ptCount val="11"/>
                <c:pt idx="0">
                  <c:v>Grupo Comunicaciones y Prensa</c:v>
                </c:pt>
                <c:pt idx="1">
                  <c:v>Dirección de energía electrica</c:v>
                </c:pt>
                <c:pt idx="2">
                  <c:v>Dirección de Formalización Minera</c:v>
                </c:pt>
                <c:pt idx="3">
                  <c:v>Dirección de hidrocarburos</c:v>
                </c:pt>
                <c:pt idx="4">
                  <c:v>Dirección de Minería Empresarial</c:v>
                </c:pt>
                <c:pt idx="5">
                  <c:v>Grupo de Ejecución  Estratégica del Sector Estractivo</c:v>
                </c:pt>
                <c:pt idx="6">
                  <c:v>Grupo de Gestión presupuestal</c:v>
                </c:pt>
                <c:pt idx="7">
                  <c:v>Grupo de Control Interno Disciplinario</c:v>
                </c:pt>
                <c:pt idx="8">
                  <c:v>Grupo de Jurisdicción  Coactiva</c:v>
                </c:pt>
                <c:pt idx="9">
                  <c:v>Grupo Gestión Contractual</c:v>
                </c:pt>
                <c:pt idx="10">
                  <c:v>Oficina de Asuntos Ambientales y Sociales</c:v>
                </c:pt>
              </c:strCache>
            </c:strRef>
          </c:cat>
          <c:val>
            <c:numRef>
              <c:f>'Junio MP %'!$D$4:$D$14</c:f>
              <c:numCache>
                <c:formatCode>0.0%</c:formatCode>
                <c:ptCount val="11"/>
                <c:pt idx="0">
                  <c:v>0.76874999999999993</c:v>
                </c:pt>
                <c:pt idx="1">
                  <c:v>0.49472505055911226</c:v>
                </c:pt>
                <c:pt idx="2">
                  <c:v>0.39931149425287354</c:v>
                </c:pt>
                <c:pt idx="3">
                  <c:v>0.3003218484848485</c:v>
                </c:pt>
                <c:pt idx="4">
                  <c:v>0.41591666666666677</c:v>
                </c:pt>
                <c:pt idx="5">
                  <c:v>0.65764210887025554</c:v>
                </c:pt>
                <c:pt idx="6">
                  <c:v>0.41000000000000003</c:v>
                </c:pt>
                <c:pt idx="7">
                  <c:v>0.29642857142857137</c:v>
                </c:pt>
                <c:pt idx="8">
                  <c:v>0.35</c:v>
                </c:pt>
                <c:pt idx="9">
                  <c:v>0.1111111111111111</c:v>
                </c:pt>
                <c:pt idx="10">
                  <c:v>0.76104788999525852</c:v>
                </c:pt>
              </c:numCache>
            </c:numRef>
          </c:val>
          <c:extLst xmlns:c16r2="http://schemas.microsoft.com/office/drawing/2015/06/chart">
            <c:ext xmlns:c16="http://schemas.microsoft.com/office/drawing/2014/chart" uri="{C3380CC4-5D6E-409C-BE32-E72D297353CC}">
              <c16:uniqueId val="{00000001-4D66-40E6-BCD6-15D031E5CB79}"/>
            </c:ext>
          </c:extLst>
        </c:ser>
        <c:dLbls>
          <c:dLblPos val="inEnd"/>
          <c:showLegendKey val="0"/>
          <c:showVal val="1"/>
          <c:showCatName val="0"/>
          <c:showSerName val="0"/>
          <c:showPercent val="0"/>
          <c:showBubbleSize val="0"/>
        </c:dLbls>
        <c:gapWidth val="65"/>
        <c:axId val="-675662672"/>
        <c:axId val="-902258320"/>
      </c:barChart>
      <c:catAx>
        <c:axId val="-675662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902258320"/>
        <c:crosses val="autoZero"/>
        <c:auto val="1"/>
        <c:lblAlgn val="ctr"/>
        <c:lblOffset val="100"/>
        <c:noMultiLvlLbl val="0"/>
      </c:catAx>
      <c:valAx>
        <c:axId val="-90225832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67566267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'Junio MP %'!$C$3</c:f>
              <c:strCache>
                <c:ptCount val="1"/>
                <c:pt idx="0">
                  <c:v>Esperado Corte Junio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%'!$B$15:$B$26</c:f>
              <c:strCache>
                <c:ptCount val="12"/>
                <c:pt idx="0">
                  <c:v>Oficina de Asuntos Regulatorios y Empresariales</c:v>
                </c:pt>
                <c:pt idx="1">
                  <c:v>Oficina de Control Interno</c:v>
                </c:pt>
                <c:pt idx="2">
                  <c:v>Oficina de Planeación y Gestión Internacional</c:v>
                </c:pt>
                <c:pt idx="3">
                  <c:v>Grupo Gestión Financiera y Contable</c:v>
                </c:pt>
                <c:pt idx="4">
                  <c:v>Grupo de Gestión de la información y Servicio Ciudadano</c:v>
                </c:pt>
                <c:pt idx="5">
                  <c:v>Subdirección de Talento Humano</c:v>
                </c:pt>
                <c:pt idx="6">
                  <c:v>Grupo de Soluciones Digitales </c:v>
                </c:pt>
                <c:pt idx="7">
                  <c:v>Grupo de Infraestructura Tecnológica</c:v>
                </c:pt>
                <c:pt idx="8">
                  <c:v>Grupo Unidad de Resultados</c:v>
                </c:pt>
                <c:pt idx="9">
                  <c:v>Grupo Asuntos Legislativos</c:v>
                </c:pt>
                <c:pt idx="10">
                  <c:v>Oficina Asesora Jurídica</c:v>
                </c:pt>
                <c:pt idx="11">
                  <c:v>Grupo Servicios Administrativos</c:v>
                </c:pt>
              </c:strCache>
            </c:strRef>
          </c:cat>
          <c:val>
            <c:numRef>
              <c:f>'Junio MP %'!$C$15:$C$26</c:f>
              <c:numCache>
                <c:formatCode>0.0%</c:formatCode>
                <c:ptCount val="12"/>
                <c:pt idx="0">
                  <c:v>0.16650660522273425</c:v>
                </c:pt>
                <c:pt idx="1">
                  <c:v>0.42857142857142855</c:v>
                </c:pt>
                <c:pt idx="2">
                  <c:v>0.52185964912280702</c:v>
                </c:pt>
                <c:pt idx="3">
                  <c:v>0.1</c:v>
                </c:pt>
                <c:pt idx="4">
                  <c:v>0.18181818181818182</c:v>
                </c:pt>
                <c:pt idx="5">
                  <c:v>0.43541666666666667</c:v>
                </c:pt>
                <c:pt idx="6">
                  <c:v>0.45624999999999999</c:v>
                </c:pt>
                <c:pt idx="7">
                  <c:v>0.29165000000000002</c:v>
                </c:pt>
                <c:pt idx="8">
                  <c:v>0.49996666666666667</c:v>
                </c:pt>
                <c:pt idx="9">
                  <c:v>0.53888888888888886</c:v>
                </c:pt>
                <c:pt idx="10">
                  <c:v>0.65802349650349634</c:v>
                </c:pt>
                <c:pt idx="11">
                  <c:v>0.62875000000000003</c:v>
                </c:pt>
              </c:numCache>
            </c:numRef>
          </c:val>
          <c:extLst xmlns:c16r2="http://schemas.microsoft.com/office/drawing/2015/06/chart">
            <c:ext xmlns:c16="http://schemas.microsoft.com/office/drawing/2014/chart" uri="{C3380CC4-5D6E-409C-BE32-E72D297353CC}">
              <c16:uniqueId val="{00000000-327D-46A7-941B-BBC6AA0408AF}"/>
            </c:ext>
          </c:extLst>
        </c:ser>
        <c:ser>
          <c:idx val="1"/>
          <c:order val="1"/>
          <c:tx>
            <c:strRef>
              <c:f>'Junio MP %'!$D$3</c:f>
              <c:strCache>
                <c:ptCount val="1"/>
                <c:pt idx="0">
                  <c:v>Ejecutado Corte Junio</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%'!$B$15:$B$26</c:f>
              <c:strCache>
                <c:ptCount val="12"/>
                <c:pt idx="0">
                  <c:v>Oficina de Asuntos Regulatorios y Empresariales</c:v>
                </c:pt>
                <c:pt idx="1">
                  <c:v>Oficina de Control Interno</c:v>
                </c:pt>
                <c:pt idx="2">
                  <c:v>Oficina de Planeación y Gestión Internacional</c:v>
                </c:pt>
                <c:pt idx="3">
                  <c:v>Grupo Gestión Financiera y Contable</c:v>
                </c:pt>
                <c:pt idx="4">
                  <c:v>Grupo de Gestión de la información y Servicio Ciudadano</c:v>
                </c:pt>
                <c:pt idx="5">
                  <c:v>Subdirección de Talento Humano</c:v>
                </c:pt>
                <c:pt idx="6">
                  <c:v>Grupo de Soluciones Digitales </c:v>
                </c:pt>
                <c:pt idx="7">
                  <c:v>Grupo de Infraestructura Tecnológica</c:v>
                </c:pt>
                <c:pt idx="8">
                  <c:v>Grupo Unidad de Resultados</c:v>
                </c:pt>
                <c:pt idx="9">
                  <c:v>Grupo Asuntos Legislativos</c:v>
                </c:pt>
                <c:pt idx="10">
                  <c:v>Oficina Asesora Jurídica</c:v>
                </c:pt>
                <c:pt idx="11">
                  <c:v>Grupo Servicios Administrativos</c:v>
                </c:pt>
              </c:strCache>
            </c:strRef>
          </c:cat>
          <c:val>
            <c:numRef>
              <c:f>'Junio MP %'!$D$15:$D$26</c:f>
              <c:numCache>
                <c:formatCode>0.0%</c:formatCode>
                <c:ptCount val="12"/>
                <c:pt idx="0">
                  <c:v>0.40452655700435342</c:v>
                </c:pt>
                <c:pt idx="1">
                  <c:v>0.40476190476190471</c:v>
                </c:pt>
                <c:pt idx="2">
                  <c:v>0.53574999999999995</c:v>
                </c:pt>
                <c:pt idx="3">
                  <c:v>0.1</c:v>
                </c:pt>
                <c:pt idx="4">
                  <c:v>0.27272727272727265</c:v>
                </c:pt>
                <c:pt idx="5">
                  <c:v>0.59804999999999997</c:v>
                </c:pt>
                <c:pt idx="6">
                  <c:v>0.46247499999999997</c:v>
                </c:pt>
                <c:pt idx="7">
                  <c:v>0.34220833333333334</c:v>
                </c:pt>
                <c:pt idx="8">
                  <c:v>0.53415470085470085</c:v>
                </c:pt>
                <c:pt idx="9">
                  <c:v>0.57222222222222208</c:v>
                </c:pt>
                <c:pt idx="10">
                  <c:v>0.26930717948717953</c:v>
                </c:pt>
                <c:pt idx="11">
                  <c:v>1</c:v>
                </c:pt>
              </c:numCache>
            </c:numRef>
          </c:val>
          <c:extLst xmlns:c16r2="http://schemas.microsoft.com/office/drawing/2015/06/chart">
            <c:ext xmlns:c16="http://schemas.microsoft.com/office/drawing/2014/chart" uri="{C3380CC4-5D6E-409C-BE32-E72D297353CC}">
              <c16:uniqueId val="{00000001-327D-46A7-941B-BBC6AA0408AF}"/>
            </c:ext>
          </c:extLst>
        </c:ser>
        <c:dLbls>
          <c:dLblPos val="inEnd"/>
          <c:showLegendKey val="0"/>
          <c:showVal val="1"/>
          <c:showCatName val="0"/>
          <c:showSerName val="0"/>
          <c:showPercent val="0"/>
          <c:showBubbleSize val="0"/>
        </c:dLbls>
        <c:gapWidth val="65"/>
        <c:axId val="-569120032"/>
        <c:axId val="-569114592"/>
      </c:barChart>
      <c:catAx>
        <c:axId val="-56912003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69114592"/>
        <c:crosses val="autoZero"/>
        <c:auto val="1"/>
        <c:lblAlgn val="ctr"/>
        <c:lblOffset val="100"/>
        <c:noMultiLvlLbl val="0"/>
      </c:catAx>
      <c:valAx>
        <c:axId val="-569114592"/>
        <c:scaling>
          <c:orientation val="minMax"/>
          <c:max val="1"/>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569120032"/>
        <c:crosses val="autoZero"/>
        <c:crossBetween val="between"/>
        <c:majorUnit val="0.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'Junio MP %'!$C$3</c:f>
              <c:strCache>
                <c:ptCount val="1"/>
                <c:pt idx="0">
                  <c:v>Esperado Corte Junio</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%'!$B$26</c:f>
              <c:strCache>
                <c:ptCount val="1"/>
                <c:pt idx="0">
                  <c:v>Grupo Servicios Administrativos</c:v>
                </c:pt>
              </c:strCache>
            </c:strRef>
          </c:cat>
          <c:val>
            <c:numRef>
              <c:f>'Junio MP %'!$C$26</c:f>
              <c:numCache>
                <c:formatCode>0.0%</c:formatCode>
                <c:ptCount val="1"/>
                <c:pt idx="0">
                  <c:v>0.62875000000000003</c:v>
                </c:pt>
              </c:numCache>
            </c:numRef>
          </c:val>
          <c:extLst xmlns:c16r2="http://schemas.microsoft.com/office/drawing/2015/06/chart">
            <c:ext xmlns:c16="http://schemas.microsoft.com/office/drawing/2014/chart" uri="{C3380CC4-5D6E-409C-BE32-E72D297353CC}">
              <c16:uniqueId val="{00000000-AE59-479D-9CC2-10AC672EF0C6}"/>
            </c:ext>
          </c:extLst>
        </c:ser>
        <c:ser>
          <c:idx val="1"/>
          <c:order val="1"/>
          <c:tx>
            <c:strRef>
              <c:f>'Junio MP %'!$D$3</c:f>
              <c:strCache>
                <c:ptCount val="1"/>
                <c:pt idx="0">
                  <c:v>Ejecutado Corte Junio</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'Junio MP %'!$B$26</c:f>
              <c:strCache>
                <c:ptCount val="1"/>
                <c:pt idx="0">
                  <c:v>Grupo Servicios Administrativos</c:v>
                </c:pt>
              </c:strCache>
            </c:strRef>
          </c:cat>
          <c:val>
            <c:numRef>
              <c:f>'Junio MP %'!$D$26</c:f>
              <c:numCache>
                <c:formatCode>0.0%</c:formatCode>
                <c:ptCount val="1"/>
                <c:pt idx="0">
                  <c:v>1</c:v>
                </c:pt>
              </c:numCache>
            </c:numRef>
          </c:val>
          <c:extLst xmlns:c16r2="http://schemas.microsoft.com/office/drawing/2015/06/chart">
            <c:ext xmlns:c16="http://schemas.microsoft.com/office/drawing/2014/chart" uri="{C3380CC4-5D6E-409C-BE32-E72D297353CC}">
              <c16:uniqueId val="{00000001-AE59-479D-9CC2-10AC672EF0C6}"/>
            </c:ext>
          </c:extLst>
        </c:ser>
        <c:dLbls>
          <c:dLblPos val="inEnd"/>
          <c:showLegendKey val="0"/>
          <c:showVal val="1"/>
          <c:showCatName val="0"/>
          <c:showSerName val="0"/>
          <c:showPercent val="0"/>
          <c:showBubbleSize val="0"/>
        </c:dLbls>
        <c:gapWidth val="65"/>
        <c:axId val="-569127104"/>
        <c:axId val="-569128192"/>
      </c:barChart>
      <c:catAx>
        <c:axId val="-56912710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69128192"/>
        <c:crosses val="autoZero"/>
        <c:auto val="1"/>
        <c:lblAlgn val="ctr"/>
        <c:lblOffset val="100"/>
        <c:noMultiLvlLbl val="0"/>
      </c:catAx>
      <c:valAx>
        <c:axId val="-569128192"/>
        <c:scaling>
          <c:orientation val="minMax"/>
          <c:max val="1.6"/>
          <c:min val="0"/>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569127104"/>
        <c:crosses val="autoZero"/>
        <c:crossBetween val="between"/>
        <c:majorUnit val="2"/>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B12A-43B3-9191-2BAEE0469BD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B12A-43B3-9191-2BAEE0469BD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'Junio MP %'!$B$32:$B$33</c:f>
              <c:strCache>
                <c:ptCount val="2"/>
                <c:pt idx="0">
                  <c:v>Indicadores con programación</c:v>
                </c:pt>
                <c:pt idx="1">
                  <c:v>Indicadores sin programación</c:v>
                </c:pt>
              </c:strCache>
            </c:strRef>
          </c:cat>
          <c:val>
            <c:numRef>
              <c:f>'Junio MP %'!$C$32:$C$33</c:f>
              <c:numCache>
                <c:formatCode>General</c:formatCode>
                <c:ptCount val="2"/>
                <c:pt idx="0">
                  <c:v>211</c:v>
                </c:pt>
                <c:pt idx="1">
                  <c:v>156</c:v>
                </c:pt>
              </c:numCache>
            </c:numRef>
          </c:val>
          <c:extLst xmlns:c16r2="http://schemas.microsoft.com/office/drawing/2015/06/chart">
            <c:ext xmlns:c16="http://schemas.microsoft.com/office/drawing/2014/chart" uri="{C3380CC4-5D6E-409C-BE32-E72D297353CC}">
              <c16:uniqueId val="{00000004-B12A-43B3-9191-2BAEE0469BD8}"/>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tx>
            <c:strRef>
              <c:f>'Junio MP %'!$C$35</c:f>
              <c:strCache>
                <c:ptCount val="1"/>
                <c:pt idx="0">
                  <c:v>CANTIDAD</c:v>
                </c:pt>
              </c:strCache>
            </c:strRef>
          </c:tx>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2143-48D5-89CD-0BB164772A0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2143-48D5-89CD-0BB164772A0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2143-48D5-89CD-0BB164772A08}"/>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2143-48D5-89CD-0BB164772A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'Junio MP %'!$B$36:$B$39</c:f>
              <c:strCache>
                <c:ptCount val="4"/>
                <c:pt idx="0">
                  <c:v>Cero</c:v>
                </c:pt>
                <c:pt idx="1">
                  <c:v>1% - 50%</c:v>
                </c:pt>
                <c:pt idx="2">
                  <c:v>51% - 100%</c:v>
                </c:pt>
                <c:pt idx="3">
                  <c:v>Mayor 100%</c:v>
                </c:pt>
              </c:strCache>
            </c:strRef>
          </c:cat>
          <c:val>
            <c:numRef>
              <c:f>'Junio MP %'!$C$36:$C$39</c:f>
              <c:numCache>
                <c:formatCode>General</c:formatCode>
                <c:ptCount val="4"/>
                <c:pt idx="0">
                  <c:v>35</c:v>
                </c:pt>
                <c:pt idx="1">
                  <c:v>74</c:v>
                </c:pt>
                <c:pt idx="2">
                  <c:v>85</c:v>
                </c:pt>
                <c:pt idx="3">
                  <c:v>17</c:v>
                </c:pt>
              </c:numCache>
            </c:numRef>
          </c:val>
          <c:extLst xmlns:c16r2="http://schemas.microsoft.com/office/drawing/2015/06/chart">
            <c:ext xmlns:c16="http://schemas.microsoft.com/office/drawing/2014/chart" uri="{C3380CC4-5D6E-409C-BE32-E72D297353CC}">
              <c16:uniqueId val="{00000008-2143-48D5-89CD-0BB164772A0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761999</xdr:colOff>
      <xdr:row>3</xdr:row>
      <xdr:rowOff>14287</xdr:rowOff>
    </xdr:from>
    <xdr:to>
      <xdr:col>13</xdr:col>
      <xdr:colOff>131999</xdr:colOff>
      <xdr:row>13</xdr:row>
      <xdr:rowOff>261787</xdr:rowOff>
    </xdr:to>
    <xdr:graphicFrame macro="">
      <xdr:nvGraphicFramePr>
        <xdr:cNvPr id="2" name="Gráfico 1">
          <a:extLst>
            <a:ext uri="{FF2B5EF4-FFF2-40B4-BE49-F238E27FC236}">
              <a16:creationId xmlns="" xmlns:a16="http://schemas.microsoft.com/office/drawing/2014/main" id="{E3CDD22F-961E-41E5-92A4-753BB739B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9524</xdr:colOff>
      <xdr:row>14</xdr:row>
      <xdr:rowOff>171448</xdr:rowOff>
    </xdr:from>
    <xdr:to>
      <xdr:col>13</xdr:col>
      <xdr:colOff>141524</xdr:colOff>
      <xdr:row>24</xdr:row>
      <xdr:rowOff>37948</xdr:rowOff>
    </xdr:to>
    <xdr:graphicFrame macro="">
      <xdr:nvGraphicFramePr>
        <xdr:cNvPr id="3" name="Gráfico 2">
          <a:extLst>
            <a:ext uri="{FF2B5EF4-FFF2-40B4-BE49-F238E27FC236}">
              <a16:creationId xmlns="" xmlns:a16="http://schemas.microsoft.com/office/drawing/2014/main" id="{3957A661-3A17-4DA7-B52B-19523B37B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25</xdr:row>
      <xdr:rowOff>0</xdr:rowOff>
    </xdr:from>
    <xdr:to>
      <xdr:col>11</xdr:col>
      <xdr:colOff>0</xdr:colOff>
      <xdr:row>29</xdr:row>
      <xdr:rowOff>133350</xdr:rowOff>
    </xdr:to>
    <xdr:graphicFrame macro="">
      <xdr:nvGraphicFramePr>
        <xdr:cNvPr id="4" name="Gráfico 3">
          <a:extLst>
            <a:ext uri="{FF2B5EF4-FFF2-40B4-BE49-F238E27FC236}">
              <a16:creationId xmlns="" xmlns:a16="http://schemas.microsoft.com/office/drawing/2014/main" id="{A0E9B395-F4CD-4CCB-AD9A-5788C1C55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30</xdr:row>
      <xdr:rowOff>180975</xdr:rowOff>
    </xdr:from>
    <xdr:to>
      <xdr:col>12</xdr:col>
      <xdr:colOff>0</xdr:colOff>
      <xdr:row>42</xdr:row>
      <xdr:rowOff>61912</xdr:rowOff>
    </xdr:to>
    <xdr:graphicFrame macro="">
      <xdr:nvGraphicFramePr>
        <xdr:cNvPr id="5" name="Gráfico 4">
          <a:extLst>
            <a:ext uri="{FF2B5EF4-FFF2-40B4-BE49-F238E27FC236}">
              <a16:creationId xmlns="" xmlns:a16="http://schemas.microsoft.com/office/drawing/2014/main" id="{29D13759-32E0-46CD-9CFC-92289CFF6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42</xdr:row>
      <xdr:rowOff>185737</xdr:rowOff>
    </xdr:from>
    <xdr:to>
      <xdr:col>12</xdr:col>
      <xdr:colOff>0</xdr:colOff>
      <xdr:row>57</xdr:row>
      <xdr:rowOff>71437</xdr:rowOff>
    </xdr:to>
    <xdr:graphicFrame macro="">
      <xdr:nvGraphicFramePr>
        <xdr:cNvPr id="6" name="Gráfico 5">
          <a:extLst>
            <a:ext uri="{FF2B5EF4-FFF2-40B4-BE49-F238E27FC236}">
              <a16:creationId xmlns="" xmlns:a16="http://schemas.microsoft.com/office/drawing/2014/main" id="{3801F040-D8CE-4B64-BC38-FF69DA709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428624</xdr:colOff>
      <xdr:row>1</xdr:row>
      <xdr:rowOff>79375</xdr:rowOff>
    </xdr:from>
    <xdr:to>
      <xdr:col>5</xdr:col>
      <xdr:colOff>285749</xdr:colOff>
      <xdr:row>1</xdr:row>
      <xdr:rowOff>1031875</xdr:rowOff>
    </xdr:to>
    <xdr:pic>
      <xdr:nvPicPr>
        <xdr:cNvPr id="2" name="Imagen 1"/>
        <xdr:cNvPicPr>
          <a:picLocks noChangeAspect="1"/>
        </xdr:cNvPicPr>
      </xdr:nvPicPr>
      <xdr:blipFill>
        <a:blip xmlns:r="http://schemas.openxmlformats.org/officeDocument/2006/relationships" r:embed="rId1"/>
        <a:stretch>
          <a:fillRect/>
        </a:stretch>
      </xdr:blipFill>
      <xdr:spPr>
        <a:xfrm>
          <a:off x="428624" y="79375"/>
          <a:ext cx="5445125"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Grupo%20Gesti&#243;n%20Contractual%201%20RepPAA%20GGC%20ene%20feb%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TELETRABAJO%20EDGAR/2021/PLAN%20E%20ACCI&#211;N%202021/SEGUIMIENTO%20PLAN%20DE%20ACCI&#211;N/Enero%20Febrero/Subdirecci&#243;n%20Talento%20Hum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s Resultados"/>
      <sheetName val="Metas Productos"/>
      <sheetName val="Hoja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workbookViewId="0"/>
  </sheetViews>
  <sheetFormatPr baseColWidth="10" defaultColWidth="11.42578125" defaultRowHeight="15"/>
  <sheetData>
    <row r="1" spans="1:12">
      <c r="A1" s="35" t="s">
        <v>0</v>
      </c>
      <c r="B1" s="35" t="s">
        <v>1</v>
      </c>
      <c r="C1" s="35" t="s">
        <v>2</v>
      </c>
      <c r="D1" s="35" t="s">
        <v>3</v>
      </c>
      <c r="E1" s="35" t="s">
        <v>4</v>
      </c>
      <c r="F1" s="35" t="s">
        <v>5</v>
      </c>
      <c r="G1" s="35" t="s">
        <v>6</v>
      </c>
      <c r="H1" s="35" t="s">
        <v>7</v>
      </c>
      <c r="I1" s="35" t="s">
        <v>8</v>
      </c>
      <c r="J1" s="35" t="s">
        <v>9</v>
      </c>
      <c r="K1" s="35" t="s">
        <v>10</v>
      </c>
      <c r="L1" s="35" t="s">
        <v>11</v>
      </c>
    </row>
    <row r="2" spans="1:12">
      <c r="A2">
        <v>8</v>
      </c>
      <c r="B2">
        <v>8</v>
      </c>
      <c r="C2">
        <v>8</v>
      </c>
      <c r="D2">
        <v>8</v>
      </c>
      <c r="E2">
        <v>12</v>
      </c>
      <c r="F2">
        <v>8</v>
      </c>
      <c r="G2">
        <v>8</v>
      </c>
      <c r="H2">
        <v>8</v>
      </c>
      <c r="I2">
        <v>8</v>
      </c>
      <c r="J2">
        <v>8</v>
      </c>
      <c r="K2">
        <v>8</v>
      </c>
      <c r="L2">
        <v>8</v>
      </c>
    </row>
    <row r="3" spans="1:12">
      <c r="A3">
        <v>0</v>
      </c>
      <c r="B3">
        <v>0</v>
      </c>
      <c r="C3">
        <v>0</v>
      </c>
      <c r="D3">
        <v>0</v>
      </c>
      <c r="E3">
        <v>0</v>
      </c>
      <c r="F3">
        <v>0.4</v>
      </c>
      <c r="G3">
        <v>0</v>
      </c>
      <c r="H3">
        <v>0</v>
      </c>
      <c r="I3">
        <v>0</v>
      </c>
      <c r="J3">
        <v>0</v>
      </c>
      <c r="K3">
        <v>0.6</v>
      </c>
      <c r="L3">
        <v>0</v>
      </c>
    </row>
    <row r="4" spans="1:12">
      <c r="A4">
        <v>0</v>
      </c>
      <c r="B4">
        <v>0</v>
      </c>
      <c r="C4">
        <v>0</v>
      </c>
      <c r="D4">
        <v>0</v>
      </c>
      <c r="E4">
        <v>0</v>
      </c>
      <c r="F4">
        <v>0</v>
      </c>
      <c r="G4">
        <v>0</v>
      </c>
      <c r="H4">
        <v>0</v>
      </c>
      <c r="I4">
        <v>0</v>
      </c>
      <c r="J4">
        <v>0</v>
      </c>
      <c r="K4">
        <v>0.25</v>
      </c>
      <c r="L4">
        <v>0</v>
      </c>
    </row>
    <row r="5" spans="1:12">
      <c r="A5">
        <v>1469</v>
      </c>
      <c r="B5">
        <v>5109</v>
      </c>
      <c r="C5">
        <v>10295</v>
      </c>
      <c r="D5">
        <v>12228</v>
      </c>
      <c r="E5">
        <v>13973</v>
      </c>
      <c r="F5">
        <v>15064</v>
      </c>
      <c r="G5">
        <v>16736</v>
      </c>
      <c r="H5">
        <v>18958</v>
      </c>
      <c r="I5">
        <v>21271</v>
      </c>
      <c r="J5">
        <v>24256</v>
      </c>
      <c r="K5">
        <v>26688</v>
      </c>
      <c r="L5">
        <v>27813</v>
      </c>
    </row>
    <row r="6" spans="1:12">
      <c r="A6">
        <v>0</v>
      </c>
      <c r="B6">
        <v>0</v>
      </c>
      <c r="C6">
        <v>0</v>
      </c>
      <c r="D6">
        <v>5000</v>
      </c>
      <c r="E6">
        <v>0</v>
      </c>
      <c r="F6">
        <v>0</v>
      </c>
      <c r="G6">
        <v>5000</v>
      </c>
      <c r="H6">
        <v>0</v>
      </c>
      <c r="I6">
        <v>0</v>
      </c>
      <c r="J6">
        <v>5000</v>
      </c>
      <c r="K6">
        <v>0</v>
      </c>
      <c r="L6">
        <v>5000</v>
      </c>
    </row>
    <row r="7" spans="1:12">
      <c r="A7">
        <v>0</v>
      </c>
      <c r="B7">
        <v>0</v>
      </c>
      <c r="C7">
        <v>0</v>
      </c>
      <c r="D7">
        <v>0</v>
      </c>
      <c r="E7">
        <v>0</v>
      </c>
      <c r="F7">
        <v>9167</v>
      </c>
      <c r="G7">
        <v>0</v>
      </c>
      <c r="H7">
        <v>0</v>
      </c>
      <c r="I7">
        <v>0</v>
      </c>
      <c r="J7">
        <v>0</v>
      </c>
      <c r="K7">
        <v>0</v>
      </c>
      <c r="L7">
        <v>0</v>
      </c>
    </row>
    <row r="8" spans="1:12">
      <c r="A8">
        <v>0</v>
      </c>
      <c r="B8">
        <v>0</v>
      </c>
      <c r="C8">
        <v>0</v>
      </c>
      <c r="D8">
        <v>0</v>
      </c>
      <c r="E8">
        <v>0</v>
      </c>
      <c r="F8">
        <v>0</v>
      </c>
      <c r="G8">
        <v>0</v>
      </c>
      <c r="H8">
        <v>42978</v>
      </c>
      <c r="I8">
        <v>0</v>
      </c>
      <c r="J8">
        <v>0</v>
      </c>
      <c r="K8">
        <v>0</v>
      </c>
      <c r="L8">
        <v>0</v>
      </c>
    </row>
    <row r="9" spans="1:12">
      <c r="A9">
        <v>0</v>
      </c>
      <c r="B9">
        <v>0</v>
      </c>
      <c r="C9">
        <v>0</v>
      </c>
      <c r="D9">
        <v>0.25</v>
      </c>
      <c r="E9">
        <v>0.25</v>
      </c>
      <c r="F9">
        <v>0</v>
      </c>
      <c r="G9">
        <v>0</v>
      </c>
      <c r="H9">
        <v>0</v>
      </c>
      <c r="I9">
        <v>0</v>
      </c>
      <c r="J9">
        <v>0.25</v>
      </c>
      <c r="K9">
        <v>0</v>
      </c>
      <c r="L9">
        <v>0.25</v>
      </c>
    </row>
    <row r="10" spans="1:12">
      <c r="A10">
        <v>0</v>
      </c>
      <c r="B10">
        <v>0</v>
      </c>
      <c r="C10">
        <v>0</v>
      </c>
      <c r="D10">
        <v>0</v>
      </c>
      <c r="E10">
        <v>0.33329999999999999</v>
      </c>
      <c r="F10">
        <v>0</v>
      </c>
      <c r="G10">
        <v>0</v>
      </c>
      <c r="H10">
        <v>0.33329999999999999</v>
      </c>
      <c r="I10">
        <v>0</v>
      </c>
      <c r="J10">
        <v>0</v>
      </c>
      <c r="K10">
        <v>0</v>
      </c>
      <c r="L10">
        <v>0.33339999999999997</v>
      </c>
    </row>
    <row r="11" spans="1:12">
      <c r="A11">
        <v>0</v>
      </c>
      <c r="B11">
        <v>0</v>
      </c>
      <c r="C11">
        <v>0</v>
      </c>
      <c r="D11">
        <v>0</v>
      </c>
      <c r="E11">
        <v>0</v>
      </c>
      <c r="F11">
        <v>0</v>
      </c>
      <c r="G11">
        <v>0.33329999999999999</v>
      </c>
      <c r="H11">
        <v>0</v>
      </c>
      <c r="I11">
        <v>0.17</v>
      </c>
      <c r="J11">
        <v>0</v>
      </c>
      <c r="K11">
        <v>0.25</v>
      </c>
      <c r="L11">
        <v>0.25</v>
      </c>
    </row>
    <row r="12" spans="1:12">
      <c r="A12">
        <v>0</v>
      </c>
      <c r="B12">
        <v>0.05</v>
      </c>
      <c r="C12">
        <v>0.05</v>
      </c>
      <c r="D12">
        <v>0.05</v>
      </c>
      <c r="E12">
        <v>0.05</v>
      </c>
      <c r="F12">
        <v>0.05</v>
      </c>
      <c r="G12">
        <v>0.25</v>
      </c>
      <c r="H12">
        <v>0.05</v>
      </c>
      <c r="I12">
        <v>0.15</v>
      </c>
      <c r="J12">
        <v>0.1</v>
      </c>
      <c r="K12">
        <v>0.1</v>
      </c>
      <c r="L12">
        <v>0.1</v>
      </c>
    </row>
    <row r="13" spans="1:12">
      <c r="A13">
        <v>0</v>
      </c>
      <c r="B13">
        <v>0</v>
      </c>
      <c r="C13">
        <v>0</v>
      </c>
      <c r="D13">
        <v>0</v>
      </c>
      <c r="E13">
        <v>0</v>
      </c>
      <c r="F13">
        <v>0</v>
      </c>
      <c r="G13">
        <v>0</v>
      </c>
      <c r="H13">
        <v>0</v>
      </c>
      <c r="I13">
        <v>0</v>
      </c>
      <c r="J13">
        <v>0</v>
      </c>
      <c r="K13">
        <v>0</v>
      </c>
      <c r="L13">
        <v>1</v>
      </c>
    </row>
    <row r="14" spans="1:12">
      <c r="A14">
        <v>0</v>
      </c>
      <c r="B14">
        <v>0.05</v>
      </c>
      <c r="C14">
        <v>0.05</v>
      </c>
      <c r="D14">
        <v>0.05</v>
      </c>
      <c r="E14">
        <v>0.05</v>
      </c>
      <c r="F14">
        <v>0.05</v>
      </c>
      <c r="G14">
        <v>0.25</v>
      </c>
      <c r="H14">
        <v>0.05</v>
      </c>
      <c r="I14">
        <v>0.15</v>
      </c>
      <c r="J14">
        <v>0.1</v>
      </c>
      <c r="K14">
        <v>0.1</v>
      </c>
      <c r="L14">
        <v>0.1</v>
      </c>
    </row>
    <row r="15" spans="1:12">
      <c r="A15">
        <v>0</v>
      </c>
      <c r="B15">
        <v>0.1</v>
      </c>
      <c r="C15">
        <v>0.1</v>
      </c>
      <c r="D15">
        <v>0.1</v>
      </c>
      <c r="E15">
        <v>0.1</v>
      </c>
      <c r="F15">
        <v>0.05</v>
      </c>
      <c r="G15">
        <v>0.05</v>
      </c>
      <c r="H15">
        <v>0.05</v>
      </c>
      <c r="I15">
        <v>0.05</v>
      </c>
      <c r="J15">
        <v>0.05</v>
      </c>
      <c r="K15">
        <v>0.25</v>
      </c>
      <c r="L15">
        <v>0.1</v>
      </c>
    </row>
    <row r="16" spans="1:12">
      <c r="A16">
        <v>0</v>
      </c>
      <c r="B16">
        <v>0.05</v>
      </c>
      <c r="C16">
        <v>0.05</v>
      </c>
      <c r="D16">
        <v>0.05</v>
      </c>
      <c r="E16">
        <v>0.05</v>
      </c>
      <c r="F16">
        <v>0.05</v>
      </c>
      <c r="G16">
        <v>0.25</v>
      </c>
      <c r="H16">
        <v>0.05</v>
      </c>
      <c r="I16">
        <v>0.15</v>
      </c>
      <c r="J16">
        <v>0.1</v>
      </c>
      <c r="K16">
        <v>0.1</v>
      </c>
      <c r="L16">
        <v>0.1</v>
      </c>
    </row>
    <row r="17" spans="1:12">
      <c r="A17">
        <v>0</v>
      </c>
      <c r="B17">
        <v>0</v>
      </c>
      <c r="C17">
        <v>0</v>
      </c>
      <c r="D17">
        <v>0</v>
      </c>
      <c r="E17">
        <v>0</v>
      </c>
      <c r="F17">
        <v>0</v>
      </c>
      <c r="G17">
        <v>1000</v>
      </c>
      <c r="H17">
        <v>1000</v>
      </c>
      <c r="I17">
        <v>3000</v>
      </c>
      <c r="J17">
        <v>5000</v>
      </c>
      <c r="K17">
        <v>7500</v>
      </c>
      <c r="L17">
        <v>0</v>
      </c>
    </row>
    <row r="18" spans="1:12">
      <c r="A18">
        <v>0</v>
      </c>
      <c r="B18">
        <v>0</v>
      </c>
      <c r="C18">
        <v>0</v>
      </c>
      <c r="D18">
        <v>0</v>
      </c>
      <c r="E18">
        <v>0</v>
      </c>
      <c r="F18">
        <v>0</v>
      </c>
      <c r="G18">
        <v>0</v>
      </c>
      <c r="H18">
        <v>0</v>
      </c>
      <c r="I18">
        <v>0</v>
      </c>
      <c r="J18">
        <v>0</v>
      </c>
      <c r="K18">
        <v>0</v>
      </c>
      <c r="L18">
        <v>0</v>
      </c>
    </row>
    <row r="19" spans="1:12">
      <c r="A19">
        <v>0</v>
      </c>
      <c r="B19">
        <v>68750</v>
      </c>
      <c r="C19">
        <v>0</v>
      </c>
      <c r="D19">
        <v>0</v>
      </c>
      <c r="E19">
        <v>68750</v>
      </c>
      <c r="F19">
        <v>0</v>
      </c>
      <c r="G19">
        <v>0</v>
      </c>
      <c r="H19">
        <v>137500</v>
      </c>
      <c r="I19">
        <v>0</v>
      </c>
      <c r="J19">
        <v>0</v>
      </c>
      <c r="K19">
        <v>0</v>
      </c>
      <c r="L19">
        <v>0</v>
      </c>
    </row>
    <row r="20" spans="1:12">
      <c r="A20">
        <v>0</v>
      </c>
      <c r="B20">
        <v>0</v>
      </c>
      <c r="C20">
        <v>0</v>
      </c>
      <c r="D20">
        <v>0</v>
      </c>
      <c r="E20">
        <v>0</v>
      </c>
      <c r="F20">
        <v>0</v>
      </c>
      <c r="G20">
        <v>0</v>
      </c>
      <c r="H20">
        <v>0</v>
      </c>
      <c r="I20">
        <v>0</v>
      </c>
      <c r="J20">
        <v>0</v>
      </c>
      <c r="K20">
        <v>0</v>
      </c>
      <c r="L20">
        <v>7</v>
      </c>
    </row>
    <row r="21" spans="1:12">
      <c r="A21">
        <v>0</v>
      </c>
      <c r="B21">
        <v>0</v>
      </c>
      <c r="C21">
        <v>0</v>
      </c>
      <c r="D21">
        <v>0</v>
      </c>
      <c r="E21">
        <v>0</v>
      </c>
      <c r="F21">
        <v>0</v>
      </c>
      <c r="G21">
        <v>0</v>
      </c>
      <c r="H21">
        <v>0</v>
      </c>
      <c r="I21">
        <v>0</v>
      </c>
      <c r="J21">
        <v>0</v>
      </c>
      <c r="K21">
        <v>6</v>
      </c>
      <c r="L21">
        <v>0</v>
      </c>
    </row>
    <row r="22" spans="1:12">
      <c r="A22">
        <v>0</v>
      </c>
      <c r="B22">
        <v>0</v>
      </c>
      <c r="C22">
        <v>0</v>
      </c>
      <c r="D22">
        <v>0</v>
      </c>
      <c r="E22">
        <v>0</v>
      </c>
      <c r="F22">
        <v>0</v>
      </c>
      <c r="G22">
        <v>0</v>
      </c>
      <c r="H22">
        <v>0</v>
      </c>
      <c r="I22">
        <v>0</v>
      </c>
      <c r="J22">
        <v>0</v>
      </c>
      <c r="K22">
        <v>0</v>
      </c>
      <c r="L22">
        <v>1</v>
      </c>
    </row>
    <row r="23" spans="1:12">
      <c r="A23">
        <v>7.4999999999999997E-2</v>
      </c>
      <c r="B23">
        <v>7.4999999999999997E-2</v>
      </c>
      <c r="C23">
        <v>7.4999999999999997E-2</v>
      </c>
      <c r="D23">
        <v>7.4999999999999997E-2</v>
      </c>
      <c r="E23">
        <v>7.4999999999999997E-2</v>
      </c>
      <c r="F23">
        <v>7.4999999999999997E-2</v>
      </c>
      <c r="G23">
        <v>7.4999999999999997E-2</v>
      </c>
      <c r="H23">
        <v>7.4999999999999997E-2</v>
      </c>
      <c r="I23">
        <v>7.4999999999999997E-2</v>
      </c>
      <c r="J23">
        <v>7.4999999999999997E-2</v>
      </c>
      <c r="K23">
        <v>7.4999999999999997E-2</v>
      </c>
      <c r="L23">
        <v>7.4999999999999997E-2</v>
      </c>
    </row>
    <row r="24" spans="1:12">
      <c r="A24">
        <v>0</v>
      </c>
      <c r="B24">
        <v>0</v>
      </c>
      <c r="C24">
        <v>0</v>
      </c>
      <c r="D24">
        <v>0</v>
      </c>
      <c r="E24">
        <v>0</v>
      </c>
      <c r="F24">
        <v>0</v>
      </c>
      <c r="G24">
        <v>0</v>
      </c>
      <c r="H24">
        <v>0</v>
      </c>
      <c r="I24">
        <v>0</v>
      </c>
      <c r="J24">
        <v>100</v>
      </c>
      <c r="K24">
        <v>0</v>
      </c>
      <c r="L24">
        <v>0.01</v>
      </c>
    </row>
    <row r="25" spans="1:12">
      <c r="A25">
        <v>0</v>
      </c>
      <c r="B25">
        <v>0</v>
      </c>
      <c r="C25">
        <v>0</v>
      </c>
      <c r="D25">
        <v>0</v>
      </c>
      <c r="E25">
        <v>0</v>
      </c>
      <c r="F25">
        <v>0</v>
      </c>
      <c r="G25">
        <v>0</v>
      </c>
      <c r="H25">
        <v>0</v>
      </c>
      <c r="I25">
        <v>0</v>
      </c>
      <c r="J25">
        <v>0</v>
      </c>
      <c r="K25">
        <v>170</v>
      </c>
      <c r="L25">
        <v>0</v>
      </c>
    </row>
    <row r="26" spans="1:12">
      <c r="A26">
        <v>0</v>
      </c>
      <c r="B26">
        <v>0</v>
      </c>
      <c r="C26">
        <v>0</v>
      </c>
      <c r="D26">
        <v>0</v>
      </c>
      <c r="E26">
        <v>0</v>
      </c>
      <c r="F26">
        <v>0</v>
      </c>
      <c r="G26">
        <v>0</v>
      </c>
      <c r="H26">
        <v>0</v>
      </c>
      <c r="I26">
        <v>0</v>
      </c>
      <c r="J26">
        <v>100</v>
      </c>
      <c r="K26">
        <v>0</v>
      </c>
      <c r="L26">
        <v>0</v>
      </c>
    </row>
    <row r="27" spans="1:12">
      <c r="A27">
        <v>0</v>
      </c>
      <c r="B27">
        <v>0</v>
      </c>
      <c r="C27">
        <v>0</v>
      </c>
      <c r="D27">
        <v>0</v>
      </c>
      <c r="E27">
        <v>0</v>
      </c>
      <c r="F27">
        <v>0</v>
      </c>
      <c r="G27">
        <v>0</v>
      </c>
      <c r="H27">
        <v>0</v>
      </c>
      <c r="I27">
        <v>0</v>
      </c>
      <c r="J27">
        <v>100</v>
      </c>
      <c r="K27">
        <v>0</v>
      </c>
      <c r="L27">
        <v>0</v>
      </c>
    </row>
    <row r="28" spans="1:12">
      <c r="A28">
        <v>0</v>
      </c>
      <c r="B28">
        <v>0</v>
      </c>
      <c r="C28">
        <v>0</v>
      </c>
      <c r="D28">
        <v>0</v>
      </c>
      <c r="E28">
        <v>0</v>
      </c>
      <c r="F28">
        <v>0</v>
      </c>
      <c r="G28">
        <v>0</v>
      </c>
      <c r="H28">
        <v>0</v>
      </c>
      <c r="I28">
        <v>0</v>
      </c>
      <c r="J28">
        <v>0</v>
      </c>
      <c r="K28">
        <v>100</v>
      </c>
      <c r="L28">
        <v>0</v>
      </c>
    </row>
    <row r="29" spans="1:12">
      <c r="A29">
        <v>1</v>
      </c>
      <c r="B29">
        <v>0</v>
      </c>
      <c r="C29">
        <v>0</v>
      </c>
      <c r="D29">
        <v>0</v>
      </c>
      <c r="E29">
        <v>0</v>
      </c>
      <c r="F29">
        <v>0</v>
      </c>
      <c r="G29">
        <v>0</v>
      </c>
      <c r="H29">
        <v>0</v>
      </c>
      <c r="I29">
        <v>0</v>
      </c>
      <c r="J29">
        <v>0</v>
      </c>
      <c r="K29">
        <v>8</v>
      </c>
      <c r="L29">
        <v>0</v>
      </c>
    </row>
    <row r="30" spans="1:12">
      <c r="A30">
        <v>0</v>
      </c>
      <c r="B30">
        <v>0</v>
      </c>
      <c r="C30">
        <v>0</v>
      </c>
      <c r="D30">
        <v>0</v>
      </c>
      <c r="E30">
        <v>0</v>
      </c>
      <c r="F30">
        <v>0</v>
      </c>
      <c r="G30">
        <v>0</v>
      </c>
      <c r="H30">
        <v>0</v>
      </c>
      <c r="I30">
        <v>0</v>
      </c>
      <c r="J30">
        <v>0</v>
      </c>
      <c r="K30">
        <v>1</v>
      </c>
      <c r="L30">
        <v>0</v>
      </c>
    </row>
    <row r="31" spans="1:12">
      <c r="A31">
        <v>0</v>
      </c>
      <c r="B31">
        <v>0</v>
      </c>
      <c r="C31">
        <v>0</v>
      </c>
      <c r="D31">
        <v>0</v>
      </c>
      <c r="E31">
        <v>0</v>
      </c>
      <c r="F31">
        <v>0</v>
      </c>
      <c r="G31">
        <v>0</v>
      </c>
      <c r="H31">
        <v>0</v>
      </c>
      <c r="I31">
        <v>0</v>
      </c>
      <c r="J31">
        <v>0</v>
      </c>
      <c r="K31">
        <v>0</v>
      </c>
      <c r="L31">
        <v>1</v>
      </c>
    </row>
    <row r="32" spans="1:12">
      <c r="A32">
        <v>0</v>
      </c>
      <c r="B32">
        <v>0</v>
      </c>
      <c r="C32">
        <v>0</v>
      </c>
      <c r="D32">
        <v>0</v>
      </c>
      <c r="E32">
        <v>0</v>
      </c>
      <c r="F32">
        <v>0</v>
      </c>
      <c r="G32">
        <v>0</v>
      </c>
      <c r="H32">
        <v>0</v>
      </c>
      <c r="I32">
        <v>0</v>
      </c>
      <c r="J32">
        <v>0</v>
      </c>
      <c r="K32">
        <v>5</v>
      </c>
      <c r="L32">
        <v>0</v>
      </c>
    </row>
    <row r="33" spans="1:12">
      <c r="A33">
        <v>0</v>
      </c>
      <c r="B33">
        <v>0</v>
      </c>
      <c r="C33">
        <v>0</v>
      </c>
      <c r="D33">
        <v>0</v>
      </c>
      <c r="E33">
        <v>0</v>
      </c>
      <c r="F33">
        <v>0</v>
      </c>
      <c r="G33">
        <v>0.5</v>
      </c>
      <c r="H33">
        <v>0</v>
      </c>
      <c r="I33">
        <v>0</v>
      </c>
      <c r="J33">
        <v>0</v>
      </c>
      <c r="K33">
        <v>0</v>
      </c>
      <c r="L33">
        <v>0.5</v>
      </c>
    </row>
    <row r="34" spans="1:12">
      <c r="A34">
        <v>0</v>
      </c>
      <c r="B34">
        <v>0</v>
      </c>
      <c r="C34">
        <v>0</v>
      </c>
      <c r="D34">
        <v>0</v>
      </c>
      <c r="E34">
        <v>0</v>
      </c>
      <c r="F34">
        <v>0</v>
      </c>
      <c r="G34">
        <v>0</v>
      </c>
      <c r="H34">
        <v>0</v>
      </c>
      <c r="I34">
        <v>0</v>
      </c>
      <c r="J34">
        <v>0</v>
      </c>
      <c r="K34">
        <v>1</v>
      </c>
      <c r="L34">
        <v>0</v>
      </c>
    </row>
    <row r="35" spans="1:12">
      <c r="A35">
        <v>0</v>
      </c>
      <c r="B35">
        <v>0</v>
      </c>
      <c r="C35">
        <v>0</v>
      </c>
      <c r="D35">
        <v>0</v>
      </c>
      <c r="E35">
        <v>0</v>
      </c>
      <c r="F35">
        <v>0</v>
      </c>
      <c r="G35">
        <v>0</v>
      </c>
      <c r="H35">
        <v>0</v>
      </c>
      <c r="I35">
        <v>0</v>
      </c>
      <c r="J35">
        <v>0</v>
      </c>
      <c r="K35">
        <v>0</v>
      </c>
      <c r="L35">
        <v>0.05</v>
      </c>
    </row>
    <row r="36" spans="1:12">
      <c r="A36">
        <v>0</v>
      </c>
      <c r="B36">
        <v>0</v>
      </c>
      <c r="C36">
        <v>0</v>
      </c>
      <c r="D36">
        <v>0</v>
      </c>
      <c r="E36">
        <v>0</v>
      </c>
      <c r="F36">
        <v>0</v>
      </c>
      <c r="G36">
        <v>0</v>
      </c>
      <c r="H36">
        <v>0</v>
      </c>
      <c r="I36">
        <v>0</v>
      </c>
      <c r="J36">
        <v>0</v>
      </c>
      <c r="K36">
        <v>0</v>
      </c>
      <c r="L36">
        <v>2</v>
      </c>
    </row>
    <row r="37" spans="1:12">
      <c r="A37">
        <v>0</v>
      </c>
      <c r="B37">
        <v>0</v>
      </c>
      <c r="C37">
        <v>0</v>
      </c>
      <c r="D37">
        <v>0</v>
      </c>
      <c r="E37">
        <v>0</v>
      </c>
      <c r="F37">
        <v>0</v>
      </c>
      <c r="G37">
        <v>0</v>
      </c>
      <c r="H37">
        <v>0</v>
      </c>
      <c r="I37">
        <v>0</v>
      </c>
      <c r="J37">
        <v>0</v>
      </c>
      <c r="K37">
        <v>0</v>
      </c>
      <c r="L37">
        <v>0.2</v>
      </c>
    </row>
    <row r="38" spans="1:12">
      <c r="A38">
        <v>0</v>
      </c>
      <c r="B38">
        <v>0</v>
      </c>
      <c r="C38">
        <v>0</v>
      </c>
      <c r="D38">
        <v>0</v>
      </c>
      <c r="E38">
        <v>0</v>
      </c>
      <c r="F38">
        <v>0</v>
      </c>
      <c r="G38">
        <v>0</v>
      </c>
      <c r="H38">
        <v>0</v>
      </c>
      <c r="I38">
        <v>0</v>
      </c>
      <c r="J38">
        <v>0</v>
      </c>
      <c r="K38">
        <v>0</v>
      </c>
      <c r="L38">
        <v>0.2</v>
      </c>
    </row>
    <row r="39" spans="1:12">
      <c r="A39">
        <v>0</v>
      </c>
      <c r="B39">
        <v>0</v>
      </c>
      <c r="C39">
        <v>0</v>
      </c>
      <c r="D39">
        <v>0</v>
      </c>
      <c r="E39">
        <v>0</v>
      </c>
      <c r="F39">
        <v>0</v>
      </c>
      <c r="G39">
        <v>0</v>
      </c>
      <c r="H39">
        <v>0</v>
      </c>
      <c r="I39">
        <v>0</v>
      </c>
      <c r="J39">
        <v>0</v>
      </c>
      <c r="K39">
        <v>0</v>
      </c>
      <c r="L39">
        <v>0.1</v>
      </c>
    </row>
    <row r="40" spans="1:12">
      <c r="A40">
        <v>0</v>
      </c>
      <c r="B40">
        <v>0</v>
      </c>
      <c r="C40">
        <v>0</v>
      </c>
      <c r="D40">
        <v>0</v>
      </c>
      <c r="E40">
        <v>0</v>
      </c>
      <c r="F40">
        <v>0</v>
      </c>
      <c r="G40">
        <v>0</v>
      </c>
      <c r="H40">
        <v>0</v>
      </c>
      <c r="I40">
        <v>0</v>
      </c>
      <c r="J40">
        <v>0</v>
      </c>
      <c r="K40">
        <v>1</v>
      </c>
      <c r="L40">
        <v>0</v>
      </c>
    </row>
    <row r="41" spans="1:12">
      <c r="A41">
        <v>0</v>
      </c>
      <c r="B41">
        <v>0</v>
      </c>
      <c r="C41">
        <v>0</v>
      </c>
      <c r="D41">
        <v>0</v>
      </c>
      <c r="E41">
        <v>0</v>
      </c>
      <c r="F41">
        <v>1</v>
      </c>
      <c r="G41">
        <v>1</v>
      </c>
      <c r="H41">
        <v>1</v>
      </c>
      <c r="I41">
        <v>0</v>
      </c>
      <c r="J41">
        <v>0</v>
      </c>
      <c r="K41">
        <v>0</v>
      </c>
      <c r="L41">
        <v>3</v>
      </c>
    </row>
    <row r="42" spans="1:12">
      <c r="A42">
        <v>1</v>
      </c>
      <c r="B42">
        <v>1</v>
      </c>
      <c r="C42">
        <v>1</v>
      </c>
      <c r="D42">
        <v>0</v>
      </c>
      <c r="E42">
        <v>0</v>
      </c>
      <c r="F42">
        <v>0</v>
      </c>
      <c r="G42">
        <v>0</v>
      </c>
      <c r="H42">
        <v>0</v>
      </c>
      <c r="I42">
        <v>0</v>
      </c>
      <c r="J42">
        <v>0</v>
      </c>
      <c r="K42">
        <v>0</v>
      </c>
      <c r="L42">
        <v>1</v>
      </c>
    </row>
    <row r="43" spans="1:12">
      <c r="A43">
        <v>0</v>
      </c>
      <c r="B43">
        <v>0</v>
      </c>
      <c r="C43">
        <v>0</v>
      </c>
      <c r="D43">
        <v>3</v>
      </c>
      <c r="E43">
        <v>0</v>
      </c>
      <c r="F43">
        <v>0</v>
      </c>
      <c r="G43">
        <v>3</v>
      </c>
      <c r="H43">
        <v>0</v>
      </c>
      <c r="I43">
        <v>0</v>
      </c>
      <c r="J43">
        <v>3</v>
      </c>
      <c r="K43">
        <v>0</v>
      </c>
      <c r="L43">
        <v>1</v>
      </c>
    </row>
    <row r="44" spans="1:12">
      <c r="A44">
        <v>0</v>
      </c>
      <c r="B44">
        <v>0</v>
      </c>
      <c r="C44">
        <v>0</v>
      </c>
      <c r="D44">
        <v>0</v>
      </c>
      <c r="E44">
        <v>0</v>
      </c>
      <c r="F44">
        <v>0</v>
      </c>
      <c r="G44">
        <v>0</v>
      </c>
      <c r="H44">
        <v>0</v>
      </c>
      <c r="I44">
        <v>0</v>
      </c>
      <c r="J44">
        <v>0</v>
      </c>
      <c r="K44">
        <v>0</v>
      </c>
      <c r="L44">
        <v>70</v>
      </c>
    </row>
    <row r="45" spans="1:12">
      <c r="A45">
        <v>0</v>
      </c>
      <c r="B45">
        <v>5181</v>
      </c>
      <c r="C45">
        <v>4997</v>
      </c>
      <c r="D45">
        <v>18686</v>
      </c>
      <c r="E45">
        <v>2141</v>
      </c>
      <c r="F45">
        <v>3374</v>
      </c>
      <c r="G45">
        <v>0</v>
      </c>
      <c r="H45">
        <v>0</v>
      </c>
      <c r="I45">
        <v>0</v>
      </c>
      <c r="J45">
        <v>0</v>
      </c>
      <c r="K45">
        <v>0</v>
      </c>
      <c r="L45">
        <v>0</v>
      </c>
    </row>
    <row r="46" spans="1:12">
      <c r="A46">
        <v>0</v>
      </c>
      <c r="B46">
        <v>1516</v>
      </c>
      <c r="C46">
        <v>0</v>
      </c>
      <c r="D46">
        <v>0</v>
      </c>
      <c r="E46">
        <v>0</v>
      </c>
      <c r="F46">
        <v>0</v>
      </c>
      <c r="G46">
        <v>0</v>
      </c>
      <c r="H46">
        <v>0</v>
      </c>
      <c r="I46">
        <v>0</v>
      </c>
      <c r="J46">
        <v>0</v>
      </c>
      <c r="K46">
        <v>0</v>
      </c>
      <c r="L46">
        <v>0</v>
      </c>
    </row>
    <row r="47" spans="1:12">
      <c r="A47">
        <v>0</v>
      </c>
      <c r="B47">
        <v>0</v>
      </c>
      <c r="C47">
        <v>0</v>
      </c>
      <c r="D47">
        <v>4000</v>
      </c>
      <c r="E47">
        <v>2000</v>
      </c>
      <c r="F47">
        <v>2000</v>
      </c>
      <c r="G47">
        <v>2000</v>
      </c>
      <c r="H47">
        <v>2000</v>
      </c>
      <c r="I47">
        <v>2000</v>
      </c>
      <c r="J47">
        <v>2000</v>
      </c>
      <c r="K47">
        <v>2000</v>
      </c>
      <c r="L47">
        <v>2000</v>
      </c>
    </row>
    <row r="48" spans="1:12">
      <c r="A48">
        <v>0</v>
      </c>
      <c r="B48">
        <v>104387</v>
      </c>
      <c r="C48">
        <v>97827</v>
      </c>
      <c r="D48">
        <v>390076</v>
      </c>
      <c r="E48">
        <v>45519</v>
      </c>
      <c r="F48">
        <v>67180</v>
      </c>
      <c r="G48">
        <v>0</v>
      </c>
      <c r="H48">
        <v>0</v>
      </c>
      <c r="I48">
        <v>0</v>
      </c>
      <c r="J48">
        <v>0</v>
      </c>
      <c r="K48">
        <v>0</v>
      </c>
      <c r="L48">
        <v>0</v>
      </c>
    </row>
    <row r="49" spans="1:12">
      <c r="A49">
        <v>0</v>
      </c>
      <c r="B49">
        <v>4</v>
      </c>
      <c r="C49">
        <v>4</v>
      </c>
      <c r="D49">
        <v>4</v>
      </c>
      <c r="E49">
        <v>6</v>
      </c>
      <c r="F49">
        <v>6</v>
      </c>
      <c r="G49">
        <v>6</v>
      </c>
      <c r="H49">
        <v>6</v>
      </c>
      <c r="I49">
        <v>6</v>
      </c>
      <c r="J49">
        <v>6</v>
      </c>
      <c r="K49">
        <v>6</v>
      </c>
      <c r="L49">
        <v>6</v>
      </c>
    </row>
    <row r="50" spans="1:12">
      <c r="A50">
        <v>0</v>
      </c>
      <c r="B50">
        <v>0</v>
      </c>
      <c r="C50">
        <v>0</v>
      </c>
      <c r="D50">
        <v>0</v>
      </c>
      <c r="E50">
        <v>0</v>
      </c>
      <c r="F50">
        <v>0</v>
      </c>
      <c r="G50">
        <v>0</v>
      </c>
      <c r="H50">
        <v>0</v>
      </c>
      <c r="I50">
        <v>1</v>
      </c>
      <c r="J50">
        <v>1</v>
      </c>
      <c r="K50">
        <v>1</v>
      </c>
      <c r="L50">
        <v>0</v>
      </c>
    </row>
    <row r="51" spans="1:12">
      <c r="A51">
        <v>1</v>
      </c>
      <c r="B51">
        <v>1</v>
      </c>
      <c r="C51">
        <v>1</v>
      </c>
      <c r="D51">
        <v>1</v>
      </c>
      <c r="E51">
        <v>1</v>
      </c>
      <c r="F51">
        <v>1</v>
      </c>
      <c r="G51">
        <v>1</v>
      </c>
      <c r="H51">
        <v>1</v>
      </c>
      <c r="I51">
        <v>1</v>
      </c>
      <c r="J51">
        <v>1</v>
      </c>
      <c r="K51">
        <v>1</v>
      </c>
      <c r="L51">
        <v>1</v>
      </c>
    </row>
    <row r="52" spans="1:12">
      <c r="A52">
        <v>0</v>
      </c>
      <c r="B52">
        <v>0</v>
      </c>
      <c r="C52">
        <v>0</v>
      </c>
      <c r="D52">
        <v>0</v>
      </c>
      <c r="E52">
        <v>0</v>
      </c>
      <c r="F52">
        <v>0</v>
      </c>
      <c r="G52">
        <v>0</v>
      </c>
      <c r="H52">
        <v>0</v>
      </c>
      <c r="I52">
        <v>0</v>
      </c>
      <c r="J52">
        <v>0</v>
      </c>
      <c r="K52">
        <v>0</v>
      </c>
      <c r="L52">
        <v>12</v>
      </c>
    </row>
    <row r="53" spans="1:12">
      <c r="A53">
        <v>0</v>
      </c>
      <c r="B53">
        <v>0</v>
      </c>
      <c r="C53">
        <v>0</v>
      </c>
      <c r="D53">
        <v>0</v>
      </c>
      <c r="E53">
        <v>0</v>
      </c>
      <c r="F53">
        <v>0</v>
      </c>
      <c r="G53">
        <v>0</v>
      </c>
      <c r="H53">
        <v>0</v>
      </c>
      <c r="I53">
        <v>0</v>
      </c>
      <c r="J53">
        <v>0</v>
      </c>
      <c r="K53">
        <v>0</v>
      </c>
      <c r="L53">
        <v>1</v>
      </c>
    </row>
    <row r="54" spans="1:12">
      <c r="A54">
        <v>0</v>
      </c>
      <c r="B54">
        <v>0</v>
      </c>
      <c r="C54">
        <v>0</v>
      </c>
      <c r="D54">
        <v>0.2</v>
      </c>
      <c r="E54">
        <v>0</v>
      </c>
      <c r="F54">
        <v>0</v>
      </c>
      <c r="G54">
        <v>0.2</v>
      </c>
      <c r="H54">
        <v>0</v>
      </c>
      <c r="I54">
        <v>0</v>
      </c>
      <c r="J54">
        <v>0.2</v>
      </c>
      <c r="K54">
        <v>0.2</v>
      </c>
      <c r="L54">
        <v>0.2</v>
      </c>
    </row>
    <row r="55" spans="1:12">
      <c r="A55">
        <v>0.05</v>
      </c>
      <c r="B55">
        <v>0.05</v>
      </c>
      <c r="C55">
        <v>0.05</v>
      </c>
      <c r="D55">
        <v>0.05</v>
      </c>
      <c r="E55">
        <v>0.05</v>
      </c>
      <c r="F55">
        <v>0.05</v>
      </c>
      <c r="G55">
        <v>0.05</v>
      </c>
      <c r="H55">
        <v>0.05</v>
      </c>
      <c r="I55">
        <v>0.05</v>
      </c>
      <c r="J55">
        <v>0.05</v>
      </c>
      <c r="K55">
        <v>0.05</v>
      </c>
      <c r="L55">
        <v>0.05</v>
      </c>
    </row>
    <row r="56" spans="1:12">
      <c r="A56">
        <v>0</v>
      </c>
      <c r="B56">
        <v>0.05</v>
      </c>
      <c r="C56">
        <v>0.05</v>
      </c>
      <c r="D56">
        <v>0.05</v>
      </c>
      <c r="E56">
        <v>0.05</v>
      </c>
      <c r="F56">
        <v>0.05</v>
      </c>
      <c r="G56">
        <v>0.05</v>
      </c>
      <c r="H56">
        <v>0.05</v>
      </c>
      <c r="I56">
        <v>0.05</v>
      </c>
      <c r="J56">
        <v>0.05</v>
      </c>
      <c r="K56">
        <v>0.05</v>
      </c>
      <c r="L56">
        <v>0.5</v>
      </c>
    </row>
    <row r="57" spans="1:12">
      <c r="A57">
        <v>0</v>
      </c>
      <c r="B57">
        <v>0.15</v>
      </c>
      <c r="C57">
        <v>0.15</v>
      </c>
      <c r="D57">
        <v>0.2</v>
      </c>
      <c r="E57">
        <v>0.2</v>
      </c>
      <c r="F57">
        <v>0.15</v>
      </c>
      <c r="G57">
        <v>0.15</v>
      </c>
      <c r="H57">
        <v>0</v>
      </c>
      <c r="I57">
        <v>0</v>
      </c>
      <c r="J57">
        <v>0</v>
      </c>
      <c r="K57">
        <v>0</v>
      </c>
      <c r="L57">
        <v>0</v>
      </c>
    </row>
    <row r="58" spans="1:12">
      <c r="A58">
        <v>0</v>
      </c>
      <c r="B58">
        <v>0</v>
      </c>
      <c r="C58">
        <v>0</v>
      </c>
      <c r="D58">
        <v>0</v>
      </c>
      <c r="E58">
        <v>0</v>
      </c>
      <c r="F58">
        <v>0</v>
      </c>
      <c r="G58">
        <v>0</v>
      </c>
      <c r="H58">
        <v>0.1</v>
      </c>
      <c r="I58">
        <v>0.25</v>
      </c>
      <c r="J58">
        <v>0.25</v>
      </c>
      <c r="K58">
        <v>0.4</v>
      </c>
      <c r="L58">
        <v>0</v>
      </c>
    </row>
    <row r="59" spans="1:12">
      <c r="A59">
        <v>0</v>
      </c>
      <c r="B59">
        <v>0</v>
      </c>
      <c r="C59">
        <v>0.22</v>
      </c>
      <c r="D59">
        <v>0</v>
      </c>
      <c r="E59">
        <v>0</v>
      </c>
      <c r="F59">
        <v>0.34</v>
      </c>
      <c r="G59">
        <v>0</v>
      </c>
      <c r="H59">
        <v>0</v>
      </c>
      <c r="I59">
        <v>0.34</v>
      </c>
      <c r="J59">
        <v>0</v>
      </c>
      <c r="K59">
        <v>0.1</v>
      </c>
      <c r="L59">
        <v>0</v>
      </c>
    </row>
    <row r="60" spans="1:12">
      <c r="A60">
        <v>0</v>
      </c>
      <c r="B60">
        <v>0</v>
      </c>
      <c r="C60">
        <v>0</v>
      </c>
      <c r="D60">
        <v>0</v>
      </c>
      <c r="E60">
        <v>0</v>
      </c>
      <c r="F60">
        <v>0</v>
      </c>
      <c r="G60">
        <v>0</v>
      </c>
      <c r="H60">
        <v>0</v>
      </c>
      <c r="I60">
        <v>0</v>
      </c>
      <c r="J60">
        <v>0</v>
      </c>
      <c r="K60">
        <v>0</v>
      </c>
      <c r="L60">
        <v>1</v>
      </c>
    </row>
    <row r="61" spans="1:12">
      <c r="A61">
        <v>0</v>
      </c>
      <c r="B61">
        <v>0</v>
      </c>
      <c r="C61">
        <v>0</v>
      </c>
      <c r="D61">
        <v>0</v>
      </c>
      <c r="E61">
        <v>0</v>
      </c>
      <c r="F61">
        <v>0</v>
      </c>
      <c r="G61">
        <v>0</v>
      </c>
      <c r="H61">
        <v>0</v>
      </c>
      <c r="I61">
        <v>0</v>
      </c>
      <c r="J61">
        <v>0</v>
      </c>
      <c r="K61">
        <v>0</v>
      </c>
      <c r="L61">
        <v>0.27</v>
      </c>
    </row>
    <row r="62" spans="1:12">
      <c r="A62">
        <v>0</v>
      </c>
      <c r="B62">
        <v>0</v>
      </c>
      <c r="C62">
        <v>0</v>
      </c>
      <c r="D62">
        <v>0</v>
      </c>
      <c r="E62">
        <v>0</v>
      </c>
      <c r="F62">
        <v>0</v>
      </c>
      <c r="G62">
        <v>0</v>
      </c>
      <c r="H62">
        <v>0</v>
      </c>
      <c r="I62">
        <v>0</v>
      </c>
      <c r="J62">
        <v>0</v>
      </c>
      <c r="K62">
        <v>0</v>
      </c>
      <c r="L62">
        <v>0</v>
      </c>
    </row>
    <row r="63" spans="1:12">
      <c r="A63">
        <v>0</v>
      </c>
      <c r="B63">
        <v>0</v>
      </c>
      <c r="C63">
        <v>0</v>
      </c>
      <c r="D63">
        <v>0</v>
      </c>
      <c r="E63">
        <v>0</v>
      </c>
      <c r="F63">
        <v>0</v>
      </c>
      <c r="G63">
        <v>0</v>
      </c>
      <c r="H63">
        <v>0</v>
      </c>
      <c r="I63">
        <v>0</v>
      </c>
      <c r="J63">
        <v>0</v>
      </c>
      <c r="K63">
        <v>0</v>
      </c>
      <c r="L63">
        <v>0</v>
      </c>
    </row>
    <row r="64" spans="1:12">
      <c r="A64">
        <v>0</v>
      </c>
      <c r="B64">
        <v>0</v>
      </c>
      <c r="C64">
        <v>0</v>
      </c>
      <c r="D64">
        <v>0</v>
      </c>
      <c r="E64">
        <v>0</v>
      </c>
      <c r="F64">
        <v>0</v>
      </c>
      <c r="G64">
        <v>0</v>
      </c>
      <c r="H64">
        <v>0</v>
      </c>
      <c r="I64">
        <v>0</v>
      </c>
      <c r="J64">
        <v>0</v>
      </c>
      <c r="K64">
        <v>0</v>
      </c>
      <c r="L64">
        <v>0</v>
      </c>
    </row>
    <row r="65" spans="1:12">
      <c r="A65">
        <v>0</v>
      </c>
      <c r="B65">
        <v>0</v>
      </c>
      <c r="C65">
        <v>0</v>
      </c>
      <c r="D65">
        <v>0</v>
      </c>
      <c r="E65">
        <v>0</v>
      </c>
      <c r="F65">
        <v>0</v>
      </c>
      <c r="G65">
        <v>0</v>
      </c>
      <c r="H65">
        <v>0</v>
      </c>
      <c r="I65">
        <v>0</v>
      </c>
      <c r="J65">
        <v>0</v>
      </c>
      <c r="K65">
        <v>0</v>
      </c>
      <c r="L65">
        <v>0</v>
      </c>
    </row>
    <row r="66" spans="1:12">
      <c r="A66">
        <v>0</v>
      </c>
      <c r="B66">
        <v>0</v>
      </c>
      <c r="C66">
        <v>0</v>
      </c>
      <c r="D66">
        <v>0</v>
      </c>
      <c r="E66">
        <v>0</v>
      </c>
      <c r="F66">
        <v>0</v>
      </c>
      <c r="G66">
        <v>0</v>
      </c>
      <c r="H66">
        <v>0</v>
      </c>
      <c r="I66">
        <v>0</v>
      </c>
      <c r="J66">
        <v>0</v>
      </c>
      <c r="K66">
        <v>0</v>
      </c>
      <c r="L66">
        <v>0</v>
      </c>
    </row>
    <row r="67" spans="1:12">
      <c r="A67">
        <v>0</v>
      </c>
      <c r="B67">
        <v>0</v>
      </c>
      <c r="C67">
        <v>0</v>
      </c>
      <c r="D67">
        <v>0</v>
      </c>
      <c r="E67">
        <v>0</v>
      </c>
      <c r="F67">
        <v>0</v>
      </c>
      <c r="G67">
        <v>0</v>
      </c>
      <c r="H67">
        <v>0</v>
      </c>
      <c r="I67">
        <v>0</v>
      </c>
      <c r="J67">
        <v>0</v>
      </c>
      <c r="K67">
        <v>0</v>
      </c>
      <c r="L67">
        <v>0</v>
      </c>
    </row>
    <row r="68" spans="1:12">
      <c r="A68">
        <v>0</v>
      </c>
      <c r="B68">
        <v>0</v>
      </c>
      <c r="C68">
        <v>0</v>
      </c>
      <c r="D68">
        <v>0</v>
      </c>
      <c r="E68">
        <v>0</v>
      </c>
      <c r="F68">
        <v>0</v>
      </c>
      <c r="G68">
        <v>0</v>
      </c>
      <c r="H68">
        <v>0</v>
      </c>
      <c r="I68">
        <v>0</v>
      </c>
      <c r="J68">
        <v>0</v>
      </c>
      <c r="K68">
        <v>0</v>
      </c>
      <c r="L68">
        <v>0</v>
      </c>
    </row>
    <row r="69" spans="1:12">
      <c r="A69">
        <v>0</v>
      </c>
      <c r="B69">
        <v>0</v>
      </c>
      <c r="C69">
        <v>0</v>
      </c>
      <c r="D69">
        <v>0</v>
      </c>
      <c r="E69">
        <v>0</v>
      </c>
      <c r="F69">
        <v>0</v>
      </c>
      <c r="G69">
        <v>0</v>
      </c>
      <c r="H69">
        <v>0</v>
      </c>
      <c r="I69">
        <v>0</v>
      </c>
      <c r="J69">
        <v>0</v>
      </c>
      <c r="K69">
        <v>0</v>
      </c>
      <c r="L69">
        <v>0</v>
      </c>
    </row>
    <row r="70" spans="1:12">
      <c r="A70">
        <v>0</v>
      </c>
      <c r="B70">
        <v>0</v>
      </c>
      <c r="C70">
        <v>0</v>
      </c>
      <c r="D70">
        <v>0</v>
      </c>
      <c r="E70">
        <v>0</v>
      </c>
      <c r="F70">
        <v>0</v>
      </c>
      <c r="G70">
        <v>0</v>
      </c>
      <c r="H70">
        <v>0</v>
      </c>
      <c r="I70">
        <v>0</v>
      </c>
      <c r="J70">
        <v>0</v>
      </c>
      <c r="K70">
        <v>0</v>
      </c>
      <c r="L70">
        <v>0</v>
      </c>
    </row>
    <row r="71" spans="1:12">
      <c r="A71">
        <v>0</v>
      </c>
      <c r="B71">
        <v>0</v>
      </c>
      <c r="C71">
        <v>0</v>
      </c>
      <c r="D71">
        <v>0</v>
      </c>
      <c r="E71">
        <v>0</v>
      </c>
      <c r="F71">
        <v>0</v>
      </c>
      <c r="G71">
        <v>0</v>
      </c>
      <c r="H71">
        <v>0</v>
      </c>
      <c r="I71">
        <v>0</v>
      </c>
      <c r="J71">
        <v>0</v>
      </c>
      <c r="K71">
        <v>0</v>
      </c>
      <c r="L71">
        <v>0</v>
      </c>
    </row>
    <row r="72" spans="1:12">
      <c r="A72">
        <v>0</v>
      </c>
      <c r="B72">
        <v>0</v>
      </c>
      <c r="C72">
        <v>0</v>
      </c>
      <c r="D72">
        <v>0</v>
      </c>
      <c r="E72">
        <v>0</v>
      </c>
      <c r="F72">
        <v>0</v>
      </c>
      <c r="G72">
        <v>0</v>
      </c>
      <c r="H72">
        <v>0</v>
      </c>
      <c r="I72">
        <v>0</v>
      </c>
      <c r="J72">
        <v>0</v>
      </c>
      <c r="K72">
        <v>0</v>
      </c>
      <c r="L72">
        <v>0</v>
      </c>
    </row>
    <row r="73" spans="1:12">
      <c r="A73">
        <v>0</v>
      </c>
      <c r="B73">
        <v>0</v>
      </c>
      <c r="C73">
        <v>0</v>
      </c>
      <c r="D73">
        <v>0</v>
      </c>
      <c r="E73">
        <v>0</v>
      </c>
      <c r="F73">
        <v>0</v>
      </c>
      <c r="G73">
        <v>0</v>
      </c>
      <c r="H73">
        <v>0</v>
      </c>
      <c r="I73">
        <v>0</v>
      </c>
      <c r="J73">
        <v>0</v>
      </c>
      <c r="K73">
        <v>0</v>
      </c>
      <c r="L73">
        <v>0</v>
      </c>
    </row>
    <row r="74" spans="1:12">
      <c r="A74">
        <v>0</v>
      </c>
      <c r="B74">
        <v>0</v>
      </c>
      <c r="C74">
        <v>0</v>
      </c>
      <c r="D74">
        <v>0</v>
      </c>
      <c r="E74">
        <v>0</v>
      </c>
      <c r="F74">
        <v>0</v>
      </c>
      <c r="G74">
        <v>0</v>
      </c>
      <c r="H74">
        <v>0</v>
      </c>
      <c r="I74">
        <v>0</v>
      </c>
      <c r="J74">
        <v>0</v>
      </c>
      <c r="K74">
        <v>0</v>
      </c>
      <c r="L74">
        <v>0</v>
      </c>
    </row>
    <row r="75" spans="1:12">
      <c r="A75">
        <v>0</v>
      </c>
      <c r="B75">
        <v>0</v>
      </c>
      <c r="C75">
        <v>0</v>
      </c>
      <c r="D75">
        <v>0</v>
      </c>
      <c r="E75">
        <v>0</v>
      </c>
      <c r="F75">
        <v>0</v>
      </c>
      <c r="G75">
        <v>0</v>
      </c>
      <c r="H75">
        <v>0</v>
      </c>
      <c r="I75">
        <v>0</v>
      </c>
      <c r="J75">
        <v>500</v>
      </c>
      <c r="K75">
        <v>500</v>
      </c>
      <c r="L75">
        <v>0</v>
      </c>
    </row>
    <row r="76" spans="1:12">
      <c r="A76">
        <v>2.4E-2</v>
      </c>
      <c r="B76">
        <v>4.3999999999999997E-2</v>
      </c>
      <c r="C76">
        <v>6.2E-2</v>
      </c>
      <c r="D76">
        <v>4.3999999999999997E-2</v>
      </c>
      <c r="E76">
        <v>0.09</v>
      </c>
      <c r="F76">
        <v>7.8E-2</v>
      </c>
      <c r="G76">
        <v>2.4E-2</v>
      </c>
      <c r="H76">
        <v>0.11</v>
      </c>
      <c r="I76">
        <v>0.10199999999999999</v>
      </c>
      <c r="J76">
        <v>4.3999999999999997E-2</v>
      </c>
      <c r="K76">
        <v>2.4E-2</v>
      </c>
      <c r="L76">
        <v>0.35399999999999998</v>
      </c>
    </row>
    <row r="77" spans="1:12">
      <c r="A77">
        <v>0</v>
      </c>
      <c r="B77">
        <v>0</v>
      </c>
      <c r="C77">
        <v>0</v>
      </c>
      <c r="D77">
        <v>0</v>
      </c>
      <c r="E77">
        <v>0</v>
      </c>
      <c r="F77">
        <v>0</v>
      </c>
      <c r="G77">
        <v>0</v>
      </c>
      <c r="H77">
        <v>0</v>
      </c>
      <c r="I77">
        <v>0</v>
      </c>
      <c r="J77">
        <v>0</v>
      </c>
      <c r="K77">
        <v>0</v>
      </c>
      <c r="L77">
        <v>0.05</v>
      </c>
    </row>
    <row r="78" spans="1:12">
      <c r="A78">
        <v>0</v>
      </c>
      <c r="B78">
        <v>0</v>
      </c>
      <c r="C78">
        <v>0</v>
      </c>
      <c r="D78">
        <v>0.16666666666666666</v>
      </c>
      <c r="E78">
        <v>0</v>
      </c>
      <c r="F78">
        <v>0</v>
      </c>
      <c r="G78">
        <v>0</v>
      </c>
      <c r="H78">
        <v>0</v>
      </c>
      <c r="I78">
        <v>0.5</v>
      </c>
      <c r="J78">
        <v>0</v>
      </c>
      <c r="K78">
        <v>0</v>
      </c>
      <c r="L78">
        <v>0.33329999999999999</v>
      </c>
    </row>
    <row r="79" spans="1:12">
      <c r="A79">
        <v>0.01</v>
      </c>
      <c r="B79">
        <v>0.04</v>
      </c>
      <c r="C79">
        <v>7.0000000000000007E-2</v>
      </c>
      <c r="D79">
        <v>7.4999999999999997E-2</v>
      </c>
      <c r="E79">
        <v>0.23</v>
      </c>
      <c r="F79">
        <v>1.4999999999999999E-2</v>
      </c>
      <c r="G79">
        <v>0.14000000000000001</v>
      </c>
      <c r="H79">
        <v>0.19500000000000001</v>
      </c>
      <c r="I79">
        <v>0.06</v>
      </c>
      <c r="J79">
        <v>0.01</v>
      </c>
      <c r="K79">
        <v>0.02</v>
      </c>
      <c r="L79">
        <v>0.13500000000000001</v>
      </c>
    </row>
    <row r="80" spans="1:12">
      <c r="A80">
        <v>3.7999999999999999E-2</v>
      </c>
      <c r="B80">
        <v>0.125</v>
      </c>
      <c r="C80">
        <v>0.13699999999999998</v>
      </c>
      <c r="D80">
        <v>3.7999999999999999E-2</v>
      </c>
      <c r="E80">
        <v>0.126</v>
      </c>
      <c r="F80">
        <v>3.6999999999999998E-2</v>
      </c>
      <c r="G80">
        <v>3.7999999999999999E-2</v>
      </c>
      <c r="H80">
        <v>0.125</v>
      </c>
      <c r="I80">
        <v>0.13700000000000001</v>
      </c>
      <c r="J80">
        <v>3.3000000000000002E-2</v>
      </c>
      <c r="K80">
        <v>0.13</v>
      </c>
      <c r="L80">
        <v>3.6999999999999998E-2</v>
      </c>
    </row>
    <row r="81" spans="1:12">
      <c r="A81">
        <v>6.0999999999999999E-2</v>
      </c>
      <c r="B81">
        <v>2.5000000000000001E-2</v>
      </c>
      <c r="C81">
        <v>0.16900000000000001</v>
      </c>
      <c r="D81">
        <v>0.13300000000000001</v>
      </c>
      <c r="E81">
        <v>0.19400000000000001</v>
      </c>
      <c r="F81">
        <v>5.8000000000000003E-2</v>
      </c>
      <c r="G81">
        <v>8.5999999999999993E-2</v>
      </c>
      <c r="H81">
        <v>5.8999999999999997E-2</v>
      </c>
      <c r="I81">
        <v>0.06</v>
      </c>
      <c r="J81">
        <v>5.8999999999999997E-2</v>
      </c>
      <c r="K81">
        <v>0.06</v>
      </c>
      <c r="L81">
        <v>3.5999999999999997E-2</v>
      </c>
    </row>
    <row r="82" spans="1:12">
      <c r="A82">
        <v>0</v>
      </c>
      <c r="B82">
        <v>0</v>
      </c>
      <c r="C82">
        <v>0.33300000000000002</v>
      </c>
      <c r="D82">
        <v>0</v>
      </c>
      <c r="E82">
        <v>0</v>
      </c>
      <c r="F82">
        <v>0</v>
      </c>
      <c r="G82">
        <v>0.33300000000000002</v>
      </c>
      <c r="H82">
        <v>0</v>
      </c>
      <c r="I82">
        <v>0</v>
      </c>
      <c r="J82">
        <v>0.33400000000000002</v>
      </c>
      <c r="K82">
        <v>0</v>
      </c>
      <c r="L82">
        <v>0</v>
      </c>
    </row>
    <row r="83" spans="1:12">
      <c r="A83">
        <v>8.3000000000000004E-2</v>
      </c>
      <c r="B83">
        <v>0.13400000000000001</v>
      </c>
      <c r="C83">
        <v>8.3000000000000004E-2</v>
      </c>
      <c r="D83">
        <v>0.16700000000000001</v>
      </c>
      <c r="E83">
        <v>8.3000000000000004E-2</v>
      </c>
      <c r="F83">
        <v>0.13300000000000001</v>
      </c>
      <c r="G83">
        <v>8.4000000000000005E-2</v>
      </c>
      <c r="H83">
        <v>3.3000000000000002E-2</v>
      </c>
      <c r="I83">
        <v>8.3000000000000004E-2</v>
      </c>
      <c r="J83">
        <v>3.4000000000000002E-2</v>
      </c>
      <c r="K83">
        <v>8.3000000000000004E-2</v>
      </c>
      <c r="L83">
        <v>0</v>
      </c>
    </row>
    <row r="84" spans="1:12">
      <c r="A84">
        <v>0</v>
      </c>
      <c r="B84">
        <v>0.108</v>
      </c>
      <c r="C84">
        <v>0.17499999999999999</v>
      </c>
      <c r="D84">
        <v>0.109</v>
      </c>
      <c r="E84">
        <v>0</v>
      </c>
      <c r="F84">
        <v>0.108</v>
      </c>
      <c r="G84">
        <v>0</v>
      </c>
      <c r="H84">
        <v>0.108</v>
      </c>
      <c r="I84">
        <v>0.17499999999999999</v>
      </c>
      <c r="J84">
        <v>0.109</v>
      </c>
      <c r="K84">
        <v>0</v>
      </c>
      <c r="L84">
        <v>0.108</v>
      </c>
    </row>
    <row r="85" spans="1:12">
      <c r="A85">
        <v>0</v>
      </c>
      <c r="B85">
        <v>0</v>
      </c>
      <c r="C85">
        <v>0</v>
      </c>
      <c r="D85">
        <v>0</v>
      </c>
      <c r="E85">
        <v>0</v>
      </c>
      <c r="F85">
        <v>0</v>
      </c>
      <c r="G85">
        <v>0</v>
      </c>
      <c r="H85">
        <v>0</v>
      </c>
      <c r="I85">
        <v>0</v>
      </c>
      <c r="J85">
        <v>0</v>
      </c>
      <c r="K85">
        <v>0</v>
      </c>
      <c r="L85">
        <v>0</v>
      </c>
    </row>
    <row r="86" spans="1:12">
      <c r="A86">
        <v>0</v>
      </c>
      <c r="B86">
        <v>0</v>
      </c>
      <c r="C86">
        <v>0</v>
      </c>
      <c r="D86">
        <v>0</v>
      </c>
      <c r="E86">
        <v>0</v>
      </c>
      <c r="F86">
        <v>500000</v>
      </c>
      <c r="G86">
        <v>0</v>
      </c>
      <c r="H86">
        <v>0</v>
      </c>
      <c r="I86">
        <v>0</v>
      </c>
      <c r="J86">
        <v>0</v>
      </c>
      <c r="K86">
        <v>0</v>
      </c>
      <c r="L86">
        <v>500000</v>
      </c>
    </row>
    <row r="87" spans="1:12">
      <c r="A87">
        <v>0</v>
      </c>
      <c r="B87">
        <v>0</v>
      </c>
      <c r="C87">
        <v>9</v>
      </c>
      <c r="D87">
        <v>0</v>
      </c>
      <c r="E87">
        <v>0</v>
      </c>
      <c r="F87">
        <v>9</v>
      </c>
      <c r="G87">
        <v>0</v>
      </c>
      <c r="H87">
        <v>0</v>
      </c>
      <c r="I87">
        <v>9</v>
      </c>
      <c r="J87">
        <v>0</v>
      </c>
      <c r="K87">
        <v>0</v>
      </c>
      <c r="L87">
        <v>9</v>
      </c>
    </row>
    <row r="88" spans="1:12">
      <c r="A88">
        <v>0</v>
      </c>
      <c r="B88">
        <v>0</v>
      </c>
      <c r="C88">
        <v>0</v>
      </c>
      <c r="D88">
        <v>0</v>
      </c>
      <c r="E88">
        <v>0</v>
      </c>
      <c r="F88">
        <v>0</v>
      </c>
      <c r="G88">
        <v>1</v>
      </c>
      <c r="H88">
        <v>0</v>
      </c>
      <c r="I88">
        <v>0</v>
      </c>
      <c r="J88">
        <v>0</v>
      </c>
      <c r="K88">
        <v>0</v>
      </c>
      <c r="L88">
        <v>0</v>
      </c>
    </row>
    <row r="89" spans="1:12">
      <c r="A89">
        <v>0</v>
      </c>
      <c r="B89">
        <v>0</v>
      </c>
      <c r="C89">
        <v>0</v>
      </c>
      <c r="D89">
        <v>0</v>
      </c>
      <c r="E89">
        <v>0</v>
      </c>
      <c r="F89">
        <v>0</v>
      </c>
      <c r="G89">
        <v>0</v>
      </c>
      <c r="H89">
        <v>0</v>
      </c>
      <c r="I89">
        <v>0</v>
      </c>
      <c r="J89">
        <v>0</v>
      </c>
      <c r="K89">
        <v>0</v>
      </c>
      <c r="L89">
        <v>1</v>
      </c>
    </row>
    <row r="90" spans="1:12">
      <c r="A90">
        <v>0</v>
      </c>
      <c r="B90">
        <v>0</v>
      </c>
      <c r="C90">
        <v>0</v>
      </c>
      <c r="D90">
        <v>0</v>
      </c>
      <c r="E90">
        <v>0</v>
      </c>
      <c r="F90">
        <v>0</v>
      </c>
      <c r="G90">
        <v>0</v>
      </c>
      <c r="H90">
        <v>0</v>
      </c>
      <c r="I90">
        <v>0</v>
      </c>
      <c r="J90">
        <v>0</v>
      </c>
      <c r="K90">
        <v>0</v>
      </c>
      <c r="L90">
        <v>1</v>
      </c>
    </row>
    <row r="91" spans="1:12">
      <c r="A91">
        <v>0</v>
      </c>
      <c r="B91">
        <v>0</v>
      </c>
      <c r="C91">
        <v>0</v>
      </c>
      <c r="D91">
        <v>0</v>
      </c>
      <c r="E91">
        <v>0</v>
      </c>
      <c r="F91">
        <v>0</v>
      </c>
      <c r="G91">
        <v>0</v>
      </c>
      <c r="H91">
        <v>0</v>
      </c>
      <c r="I91">
        <v>0</v>
      </c>
      <c r="J91">
        <v>0</v>
      </c>
      <c r="K91">
        <v>0</v>
      </c>
      <c r="L91">
        <v>4</v>
      </c>
    </row>
    <row r="92" spans="1:12">
      <c r="A92">
        <v>0</v>
      </c>
      <c r="B92">
        <v>0</v>
      </c>
      <c r="C92">
        <v>0</v>
      </c>
      <c r="D92">
        <v>0</v>
      </c>
      <c r="E92">
        <v>0</v>
      </c>
      <c r="F92">
        <v>0</v>
      </c>
      <c r="G92">
        <v>0</v>
      </c>
      <c r="H92">
        <v>0</v>
      </c>
      <c r="I92">
        <v>0</v>
      </c>
      <c r="J92">
        <v>0</v>
      </c>
      <c r="K92">
        <v>0</v>
      </c>
      <c r="L92">
        <v>0.83199999999999996</v>
      </c>
    </row>
    <row r="93" spans="1:12">
      <c r="A93">
        <v>0</v>
      </c>
      <c r="B93">
        <v>0</v>
      </c>
      <c r="C93">
        <v>0</v>
      </c>
      <c r="D93">
        <v>0</v>
      </c>
      <c r="E93">
        <v>0</v>
      </c>
      <c r="F93">
        <v>0</v>
      </c>
      <c r="G93">
        <v>0</v>
      </c>
      <c r="H93">
        <v>0</v>
      </c>
      <c r="I93">
        <v>0</v>
      </c>
      <c r="J93">
        <v>0</v>
      </c>
      <c r="K93">
        <v>0</v>
      </c>
      <c r="L93">
        <v>4</v>
      </c>
    </row>
    <row r="94" spans="1:12">
      <c r="A94">
        <v>0</v>
      </c>
      <c r="B94">
        <v>0</v>
      </c>
      <c r="C94">
        <v>0</v>
      </c>
      <c r="D94">
        <v>0</v>
      </c>
      <c r="E94">
        <v>0</v>
      </c>
      <c r="F94">
        <v>0</v>
      </c>
      <c r="G94">
        <v>0</v>
      </c>
      <c r="H94">
        <v>0</v>
      </c>
      <c r="I94">
        <v>0</v>
      </c>
      <c r="J94">
        <v>0</v>
      </c>
      <c r="K94">
        <v>0</v>
      </c>
      <c r="L94">
        <v>4</v>
      </c>
    </row>
    <row r="95" spans="1:12">
      <c r="A95">
        <v>0</v>
      </c>
      <c r="B95">
        <v>0</v>
      </c>
      <c r="C95">
        <v>0</v>
      </c>
      <c r="D95">
        <v>0</v>
      </c>
      <c r="E95">
        <v>0.2</v>
      </c>
      <c r="F95">
        <v>0</v>
      </c>
      <c r="G95">
        <v>0.2</v>
      </c>
      <c r="H95">
        <v>0</v>
      </c>
      <c r="I95">
        <v>0.2</v>
      </c>
      <c r="J95">
        <v>0.2</v>
      </c>
      <c r="K95">
        <v>0.2</v>
      </c>
      <c r="L95">
        <v>0</v>
      </c>
    </row>
    <row r="96" spans="1:12">
      <c r="A96">
        <v>0</v>
      </c>
      <c r="B96">
        <v>0</v>
      </c>
      <c r="C96">
        <v>0</v>
      </c>
      <c r="D96">
        <v>0</v>
      </c>
      <c r="E96">
        <v>0</v>
      </c>
      <c r="F96">
        <v>0</v>
      </c>
      <c r="G96">
        <v>0</v>
      </c>
      <c r="H96">
        <v>0</v>
      </c>
      <c r="I96">
        <v>0.17</v>
      </c>
      <c r="J96">
        <v>0.27</v>
      </c>
      <c r="K96">
        <v>0.26</v>
      </c>
      <c r="L96">
        <v>0.3</v>
      </c>
    </row>
    <row r="97" spans="1:12">
      <c r="A97">
        <v>0</v>
      </c>
      <c r="B97">
        <v>0</v>
      </c>
      <c r="C97">
        <v>0</v>
      </c>
      <c r="D97">
        <v>0</v>
      </c>
      <c r="E97">
        <v>0</v>
      </c>
      <c r="F97">
        <v>0</v>
      </c>
      <c r="G97">
        <v>0</v>
      </c>
      <c r="H97">
        <v>0</v>
      </c>
      <c r="I97">
        <v>0.23</v>
      </c>
      <c r="J97">
        <v>0.23</v>
      </c>
      <c r="K97">
        <v>0.3</v>
      </c>
      <c r="L97">
        <v>0.24</v>
      </c>
    </row>
    <row r="98" spans="1:12">
      <c r="A98">
        <v>0</v>
      </c>
      <c r="B98">
        <v>0</v>
      </c>
      <c r="C98">
        <v>0.5</v>
      </c>
      <c r="D98">
        <v>0.06</v>
      </c>
      <c r="E98">
        <v>0.06</v>
      </c>
      <c r="F98">
        <v>0.08</v>
      </c>
      <c r="G98">
        <v>0</v>
      </c>
      <c r="H98">
        <v>0</v>
      </c>
      <c r="I98">
        <v>0</v>
      </c>
      <c r="J98">
        <v>0</v>
      </c>
      <c r="K98">
        <v>0.3</v>
      </c>
      <c r="L98">
        <v>0</v>
      </c>
    </row>
    <row r="99" spans="1:12">
      <c r="A99">
        <v>0</v>
      </c>
      <c r="B99">
        <v>0</v>
      </c>
      <c r="C99">
        <v>0</v>
      </c>
      <c r="D99">
        <v>0</v>
      </c>
      <c r="E99">
        <v>0</v>
      </c>
      <c r="F99">
        <v>0</v>
      </c>
      <c r="G99">
        <v>0.3</v>
      </c>
      <c r="H99">
        <v>0</v>
      </c>
      <c r="I99">
        <v>0.2</v>
      </c>
      <c r="J99">
        <v>0.3</v>
      </c>
      <c r="K99">
        <v>0</v>
      </c>
      <c r="L99">
        <v>0.2</v>
      </c>
    </row>
    <row r="100" spans="1:12">
      <c r="A100">
        <v>0</v>
      </c>
      <c r="B100">
        <v>0</v>
      </c>
      <c r="C100">
        <v>0</v>
      </c>
      <c r="D100">
        <v>0</v>
      </c>
      <c r="E100">
        <v>0</v>
      </c>
      <c r="F100">
        <v>0</v>
      </c>
      <c r="G100">
        <v>0</v>
      </c>
      <c r="H100">
        <v>0</v>
      </c>
      <c r="I100">
        <v>0</v>
      </c>
      <c r="J100">
        <v>0</v>
      </c>
      <c r="K100">
        <v>0</v>
      </c>
      <c r="L100">
        <v>0</v>
      </c>
    </row>
    <row r="101" spans="1:12">
      <c r="A101">
        <v>0</v>
      </c>
      <c r="B101">
        <v>0.1</v>
      </c>
      <c r="C101">
        <v>0.1</v>
      </c>
      <c r="D101">
        <v>0.1</v>
      </c>
      <c r="E101">
        <v>0.1</v>
      </c>
      <c r="F101">
        <v>0.1</v>
      </c>
      <c r="G101">
        <v>0.1</v>
      </c>
      <c r="H101">
        <v>0.1</v>
      </c>
      <c r="I101">
        <v>0.1</v>
      </c>
      <c r="J101">
        <v>0.1</v>
      </c>
      <c r="K101">
        <v>0.1</v>
      </c>
      <c r="L101">
        <v>0</v>
      </c>
    </row>
    <row r="102" spans="1:12">
      <c r="A102">
        <v>0</v>
      </c>
      <c r="B102">
        <v>0.1</v>
      </c>
      <c r="C102">
        <v>0.1</v>
      </c>
      <c r="D102">
        <v>0.1</v>
      </c>
      <c r="E102">
        <v>0.1</v>
      </c>
      <c r="F102">
        <v>0.1</v>
      </c>
      <c r="G102">
        <v>0.1</v>
      </c>
      <c r="H102">
        <v>0.1</v>
      </c>
      <c r="I102">
        <v>0.1</v>
      </c>
      <c r="J102">
        <v>0.1</v>
      </c>
      <c r="K102">
        <v>0.1</v>
      </c>
      <c r="L102">
        <v>0</v>
      </c>
    </row>
    <row r="103" spans="1:12">
      <c r="A103">
        <v>0</v>
      </c>
      <c r="B103">
        <v>0</v>
      </c>
      <c r="C103">
        <v>0</v>
      </c>
      <c r="D103">
        <v>0</v>
      </c>
      <c r="E103">
        <v>0</v>
      </c>
      <c r="F103">
        <v>2</v>
      </c>
      <c r="G103">
        <v>0</v>
      </c>
      <c r="H103">
        <v>0</v>
      </c>
      <c r="I103">
        <v>2</v>
      </c>
      <c r="J103">
        <v>0</v>
      </c>
      <c r="K103">
        <v>5</v>
      </c>
      <c r="L103">
        <v>0</v>
      </c>
    </row>
    <row r="104" spans="1:12">
      <c r="A104">
        <v>0</v>
      </c>
      <c r="B104">
        <v>0</v>
      </c>
      <c r="C104">
        <v>0</v>
      </c>
      <c r="D104">
        <v>0.1</v>
      </c>
      <c r="E104">
        <v>0</v>
      </c>
      <c r="F104">
        <v>0.2</v>
      </c>
      <c r="G104">
        <v>0.1</v>
      </c>
      <c r="H104">
        <v>0.2</v>
      </c>
      <c r="I104">
        <v>0.1</v>
      </c>
      <c r="J104">
        <v>0.2</v>
      </c>
      <c r="K104">
        <v>0.1</v>
      </c>
      <c r="L104">
        <v>0</v>
      </c>
    </row>
    <row r="105" spans="1:12">
      <c r="A105">
        <v>0</v>
      </c>
      <c r="B105">
        <v>0</v>
      </c>
      <c r="C105">
        <v>0.1</v>
      </c>
      <c r="D105">
        <v>0.1</v>
      </c>
      <c r="E105">
        <v>0.1</v>
      </c>
      <c r="F105">
        <v>0.1</v>
      </c>
      <c r="G105">
        <v>0.1</v>
      </c>
      <c r="H105">
        <v>0.1</v>
      </c>
      <c r="I105">
        <v>0.1</v>
      </c>
      <c r="J105">
        <v>0.1</v>
      </c>
      <c r="K105">
        <v>0.1</v>
      </c>
      <c r="L105">
        <v>0.1</v>
      </c>
    </row>
    <row r="106" spans="1:12">
      <c r="A106">
        <v>0</v>
      </c>
      <c r="B106">
        <v>0</v>
      </c>
      <c r="C106">
        <v>0.1</v>
      </c>
      <c r="D106">
        <v>0.1</v>
      </c>
      <c r="E106">
        <v>0.1</v>
      </c>
      <c r="F106">
        <v>0.1</v>
      </c>
      <c r="G106">
        <v>0.1</v>
      </c>
      <c r="H106">
        <v>0.1</v>
      </c>
      <c r="I106">
        <v>0.1</v>
      </c>
      <c r="J106">
        <v>0.1</v>
      </c>
      <c r="K106">
        <v>0.1</v>
      </c>
      <c r="L106">
        <v>0.1</v>
      </c>
    </row>
    <row r="107" spans="1:12">
      <c r="A107">
        <v>0</v>
      </c>
      <c r="B107">
        <v>0</v>
      </c>
      <c r="C107">
        <v>0.1</v>
      </c>
      <c r="D107">
        <v>0.1</v>
      </c>
      <c r="E107">
        <v>0.1</v>
      </c>
      <c r="F107">
        <v>0.1</v>
      </c>
      <c r="G107">
        <v>0.1</v>
      </c>
      <c r="H107">
        <v>0.1</v>
      </c>
      <c r="I107">
        <v>0.1</v>
      </c>
      <c r="J107">
        <v>0.1</v>
      </c>
      <c r="K107">
        <v>0.1</v>
      </c>
      <c r="L107">
        <v>0.1</v>
      </c>
    </row>
    <row r="108" spans="1:12">
      <c r="A108">
        <v>8.3330000000000001E-2</v>
      </c>
      <c r="B108">
        <v>8.3330000000000001E-2</v>
      </c>
      <c r="C108">
        <v>8.3330000000000001E-2</v>
      </c>
      <c r="D108">
        <v>8.3330000000000001E-2</v>
      </c>
      <c r="E108">
        <v>8.3330000000000001E-2</v>
      </c>
      <c r="F108">
        <v>8.3330000000000001E-2</v>
      </c>
      <c r="G108">
        <v>8.3330000000000001E-2</v>
      </c>
      <c r="H108">
        <v>8.3330000000000001E-2</v>
      </c>
      <c r="I108">
        <v>8.3330000000000001E-2</v>
      </c>
      <c r="J108">
        <v>8.3330000000000001E-2</v>
      </c>
      <c r="K108">
        <v>8.3330000000000001E-2</v>
      </c>
      <c r="L108">
        <v>8.3330000000000001E-2</v>
      </c>
    </row>
    <row r="109" spans="1:12">
      <c r="A109">
        <v>8.3330000000000001E-2</v>
      </c>
      <c r="B109">
        <v>8.3330000000000001E-2</v>
      </c>
      <c r="C109">
        <v>8.3330000000000001E-2</v>
      </c>
      <c r="D109">
        <v>8.3330000000000001E-2</v>
      </c>
      <c r="E109">
        <v>8.3330000000000001E-2</v>
      </c>
      <c r="F109">
        <v>8.3330000000000001E-2</v>
      </c>
      <c r="G109">
        <v>8.3330000000000001E-2</v>
      </c>
      <c r="H109">
        <v>8.3330000000000001E-2</v>
      </c>
      <c r="I109">
        <v>8.3330000000000001E-2</v>
      </c>
      <c r="J109">
        <v>8.3330000000000001E-2</v>
      </c>
      <c r="K109">
        <v>8.3330000000000001E-2</v>
      </c>
      <c r="L109">
        <v>8.3330000000000001E-2</v>
      </c>
    </row>
    <row r="110" spans="1:12">
      <c r="A110">
        <v>0</v>
      </c>
      <c r="B110">
        <v>0.05</v>
      </c>
      <c r="C110">
        <v>0.1</v>
      </c>
      <c r="D110">
        <v>0.1</v>
      </c>
      <c r="E110">
        <v>0.1</v>
      </c>
      <c r="F110">
        <v>0.1</v>
      </c>
      <c r="G110">
        <v>0.1</v>
      </c>
      <c r="H110">
        <v>0.1</v>
      </c>
      <c r="I110">
        <v>0.1</v>
      </c>
      <c r="J110">
        <v>0.1</v>
      </c>
      <c r="K110">
        <v>0.15</v>
      </c>
      <c r="L110">
        <v>0</v>
      </c>
    </row>
    <row r="111" spans="1:12">
      <c r="A111">
        <v>8.3330000000000001E-2</v>
      </c>
      <c r="B111">
        <v>8.3330000000000001E-2</v>
      </c>
      <c r="C111">
        <v>8.3330000000000001E-2</v>
      </c>
      <c r="D111">
        <v>8.3330000000000001E-2</v>
      </c>
      <c r="E111">
        <v>8.3330000000000001E-2</v>
      </c>
      <c r="F111">
        <v>8.3330000000000001E-2</v>
      </c>
      <c r="G111">
        <v>8.3330000000000001E-2</v>
      </c>
      <c r="H111">
        <v>8.3330000000000001E-2</v>
      </c>
      <c r="I111">
        <v>8.3330000000000001E-2</v>
      </c>
      <c r="J111">
        <v>8.3330000000000001E-2</v>
      </c>
      <c r="K111">
        <v>8.3330000000000001E-2</v>
      </c>
      <c r="L111">
        <v>8.3330000000000001E-2</v>
      </c>
    </row>
    <row r="112" spans="1:12">
      <c r="A112">
        <v>8.3330000000000001E-2</v>
      </c>
      <c r="B112">
        <v>8.3330000000000001E-2</v>
      </c>
      <c r="C112">
        <v>8.3330000000000001E-2</v>
      </c>
      <c r="D112">
        <v>8.3330000000000001E-2</v>
      </c>
      <c r="E112">
        <v>8.3330000000000001E-2</v>
      </c>
      <c r="F112">
        <v>8.3330000000000001E-2</v>
      </c>
      <c r="G112">
        <v>8.3330000000000001E-2</v>
      </c>
      <c r="H112">
        <v>8.3330000000000001E-2</v>
      </c>
      <c r="I112">
        <v>8.3330000000000001E-2</v>
      </c>
      <c r="J112">
        <v>8.3330000000000001E-2</v>
      </c>
      <c r="K112">
        <v>8.3330000000000001E-2</v>
      </c>
      <c r="L112">
        <v>8.3330000000000001E-2</v>
      </c>
    </row>
    <row r="113" spans="1:12">
      <c r="A113">
        <v>8.3330000000000001E-2</v>
      </c>
      <c r="B113">
        <v>8.3330000000000001E-2</v>
      </c>
      <c r="C113">
        <v>8.3330000000000001E-2</v>
      </c>
      <c r="D113">
        <v>8.3330000000000001E-2</v>
      </c>
      <c r="E113">
        <v>8.3330000000000001E-2</v>
      </c>
      <c r="F113">
        <v>8.3330000000000001E-2</v>
      </c>
      <c r="G113">
        <v>8.3330000000000001E-2</v>
      </c>
      <c r="H113">
        <v>8.3330000000000001E-2</v>
      </c>
      <c r="I113">
        <v>8.3330000000000001E-2</v>
      </c>
      <c r="J113">
        <v>8.3330000000000001E-2</v>
      </c>
      <c r="K113">
        <v>8.3330000000000001E-2</v>
      </c>
      <c r="L113">
        <v>8.3330000000000001E-2</v>
      </c>
    </row>
    <row r="114" spans="1:12">
      <c r="A114">
        <v>8.3299999999999999E-2</v>
      </c>
      <c r="B114">
        <v>8.3299999999999999E-2</v>
      </c>
      <c r="C114">
        <v>8.3299999999999999E-2</v>
      </c>
      <c r="D114">
        <v>8.3299999999999999E-2</v>
      </c>
      <c r="E114">
        <v>8.3299999999999999E-2</v>
      </c>
      <c r="F114">
        <v>8.3299999999999999E-2</v>
      </c>
      <c r="G114">
        <v>8.3299999999999999E-2</v>
      </c>
      <c r="H114">
        <v>8.3299999999999999E-2</v>
      </c>
      <c r="I114">
        <v>8.3299999999999999E-2</v>
      </c>
      <c r="J114">
        <v>8.3299999999999999E-2</v>
      </c>
      <c r="K114">
        <v>8.3299999999999999E-2</v>
      </c>
      <c r="L114">
        <v>8.3299999999999999E-2</v>
      </c>
    </row>
    <row r="115" spans="1:12">
      <c r="A115">
        <v>8.3330000000000001E-2</v>
      </c>
      <c r="B115">
        <v>8.3330000000000001E-2</v>
      </c>
      <c r="C115">
        <v>8.3330000000000001E-2</v>
      </c>
      <c r="D115">
        <v>8.3330000000000001E-2</v>
      </c>
      <c r="E115">
        <v>8.3330000000000001E-2</v>
      </c>
      <c r="F115">
        <v>8.3330000000000001E-2</v>
      </c>
      <c r="G115">
        <v>8.3330000000000001E-2</v>
      </c>
      <c r="H115">
        <v>8.3330000000000001E-2</v>
      </c>
      <c r="I115">
        <v>8.3330000000000001E-2</v>
      </c>
      <c r="J115">
        <v>8.3330000000000001E-2</v>
      </c>
      <c r="K115">
        <v>8.3330000000000001E-2</v>
      </c>
      <c r="L115">
        <v>8.3330000000000001E-2</v>
      </c>
    </row>
    <row r="116" spans="1:12">
      <c r="A116">
        <v>0</v>
      </c>
      <c r="B116">
        <v>0</v>
      </c>
      <c r="C116">
        <v>0</v>
      </c>
      <c r="D116">
        <v>0</v>
      </c>
      <c r="E116">
        <v>0</v>
      </c>
      <c r="F116">
        <v>1</v>
      </c>
      <c r="G116">
        <v>0</v>
      </c>
      <c r="H116">
        <v>0</v>
      </c>
      <c r="I116">
        <v>0</v>
      </c>
      <c r="J116">
        <v>0</v>
      </c>
      <c r="K116">
        <v>0</v>
      </c>
      <c r="L116">
        <v>0</v>
      </c>
    </row>
    <row r="117" spans="1:12">
      <c r="A117">
        <v>8.3330000000000001E-2</v>
      </c>
      <c r="B117">
        <v>8.3330000000000001E-2</v>
      </c>
      <c r="C117">
        <v>8.3330000000000001E-2</v>
      </c>
      <c r="D117">
        <v>8.3330000000000001E-2</v>
      </c>
      <c r="E117">
        <v>8.3330000000000001E-2</v>
      </c>
      <c r="F117">
        <v>8.3330000000000001E-2</v>
      </c>
      <c r="G117">
        <v>8.3330000000000001E-2</v>
      </c>
      <c r="H117">
        <v>8.3330000000000001E-2</v>
      </c>
      <c r="I117">
        <v>8.3330000000000001E-2</v>
      </c>
      <c r="J117">
        <v>8.3330000000000001E-2</v>
      </c>
      <c r="K117">
        <v>8.3330000000000001E-2</v>
      </c>
      <c r="L117">
        <v>8.3330000000000001E-2</v>
      </c>
    </row>
    <row r="118" spans="1:12">
      <c r="A118">
        <v>8.3299999999999999E-2</v>
      </c>
      <c r="B118">
        <v>8.3299999999999999E-2</v>
      </c>
      <c r="C118">
        <v>8.3299999999999999E-2</v>
      </c>
      <c r="D118">
        <v>8.3299999999999999E-2</v>
      </c>
      <c r="E118">
        <v>8.3299999999999999E-2</v>
      </c>
      <c r="F118">
        <v>8.3299999999999999E-2</v>
      </c>
      <c r="G118">
        <v>8.3299999999999999E-2</v>
      </c>
      <c r="H118">
        <v>8.3299999999999999E-2</v>
      </c>
      <c r="I118">
        <v>8.3299999999999999E-2</v>
      </c>
      <c r="J118">
        <v>8.3299999999999999E-2</v>
      </c>
      <c r="K118">
        <v>8.3299999999999999E-2</v>
      </c>
      <c r="L118">
        <v>8.3299999999999999E-2</v>
      </c>
    </row>
    <row r="119" spans="1:12">
      <c r="A119">
        <v>0</v>
      </c>
      <c r="B119">
        <v>0</v>
      </c>
      <c r="C119">
        <v>0</v>
      </c>
      <c r="D119">
        <v>0</v>
      </c>
      <c r="E119">
        <v>0</v>
      </c>
      <c r="F119">
        <v>1</v>
      </c>
      <c r="G119">
        <v>0</v>
      </c>
      <c r="H119">
        <v>0</v>
      </c>
      <c r="I119">
        <v>0</v>
      </c>
      <c r="J119">
        <v>0</v>
      </c>
      <c r="K119">
        <v>0</v>
      </c>
      <c r="L119">
        <v>0</v>
      </c>
    </row>
    <row r="120" spans="1:12">
      <c r="A120">
        <v>0</v>
      </c>
      <c r="B120">
        <v>0</v>
      </c>
      <c r="C120">
        <v>0</v>
      </c>
      <c r="D120">
        <v>0</v>
      </c>
      <c r="E120">
        <v>0</v>
      </c>
      <c r="F120">
        <v>5</v>
      </c>
      <c r="G120">
        <v>0</v>
      </c>
      <c r="H120">
        <v>0</v>
      </c>
      <c r="I120">
        <v>1</v>
      </c>
      <c r="J120">
        <v>0</v>
      </c>
      <c r="K120">
        <v>5</v>
      </c>
      <c r="L120">
        <v>0</v>
      </c>
    </row>
    <row r="121" spans="1:12">
      <c r="A121">
        <v>0</v>
      </c>
      <c r="B121">
        <v>0</v>
      </c>
      <c r="C121">
        <v>1</v>
      </c>
      <c r="D121">
        <v>0</v>
      </c>
      <c r="E121">
        <v>0</v>
      </c>
      <c r="F121">
        <v>1</v>
      </c>
      <c r="G121">
        <v>0</v>
      </c>
      <c r="H121">
        <v>0</v>
      </c>
      <c r="I121">
        <v>1</v>
      </c>
      <c r="J121">
        <v>0</v>
      </c>
      <c r="K121">
        <v>1</v>
      </c>
      <c r="L121">
        <v>0</v>
      </c>
    </row>
    <row r="122" spans="1:12">
      <c r="A122">
        <v>0</v>
      </c>
      <c r="B122">
        <v>0</v>
      </c>
      <c r="C122">
        <v>0</v>
      </c>
      <c r="D122">
        <v>0</v>
      </c>
      <c r="E122">
        <v>0</v>
      </c>
      <c r="F122">
        <v>7</v>
      </c>
      <c r="G122">
        <v>0</v>
      </c>
      <c r="H122">
        <v>0</v>
      </c>
      <c r="I122">
        <v>0</v>
      </c>
      <c r="J122">
        <v>0</v>
      </c>
      <c r="K122">
        <v>8</v>
      </c>
      <c r="L122">
        <v>0</v>
      </c>
    </row>
    <row r="123" spans="1:12">
      <c r="A123">
        <v>0</v>
      </c>
      <c r="B123">
        <v>0</v>
      </c>
      <c r="C123">
        <v>1</v>
      </c>
      <c r="D123">
        <v>0</v>
      </c>
      <c r="E123">
        <v>0</v>
      </c>
      <c r="F123">
        <v>0</v>
      </c>
      <c r="G123">
        <v>0</v>
      </c>
      <c r="H123">
        <v>0</v>
      </c>
      <c r="I123">
        <v>0</v>
      </c>
      <c r="J123">
        <v>0</v>
      </c>
      <c r="K123">
        <v>0</v>
      </c>
      <c r="L123">
        <v>0</v>
      </c>
    </row>
    <row r="124" spans="1:12">
      <c r="A124">
        <v>0</v>
      </c>
      <c r="B124">
        <v>0</v>
      </c>
      <c r="C124">
        <v>0</v>
      </c>
      <c r="D124">
        <v>0</v>
      </c>
      <c r="E124">
        <v>0</v>
      </c>
      <c r="F124">
        <v>1</v>
      </c>
      <c r="G124">
        <v>0</v>
      </c>
      <c r="H124">
        <v>0</v>
      </c>
      <c r="I124">
        <v>0</v>
      </c>
      <c r="J124">
        <v>0</v>
      </c>
      <c r="K124">
        <v>0</v>
      </c>
      <c r="L124">
        <v>0</v>
      </c>
    </row>
  </sheetData>
  <autoFilter ref="A1:L124"/>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O372"/>
  <sheetViews>
    <sheetView topLeftCell="S2" zoomScale="90" zoomScaleNormal="90" workbookViewId="0">
      <pane ySplit="4" topLeftCell="A6" activePane="bottomLeft" state="frozenSplit"/>
      <selection activeCell="A2" sqref="A2"/>
      <selection pane="bottomLeft" activeCell="BE7" sqref="BE7:BE329"/>
    </sheetView>
  </sheetViews>
  <sheetFormatPr baseColWidth="10" defaultColWidth="11.42578125" defaultRowHeight="15"/>
  <cols>
    <col min="1" max="1" width="4.7109375" customWidth="1"/>
    <col min="2" max="2" width="14.5703125" customWidth="1"/>
    <col min="3" max="3" width="13.85546875" customWidth="1"/>
    <col min="4" max="4" width="12" customWidth="1"/>
    <col min="5" max="5" width="21.28515625" customWidth="1"/>
    <col min="6" max="6" width="24" customWidth="1"/>
    <col min="7" max="7" width="31.5703125" customWidth="1"/>
    <col min="8" max="10" width="11.42578125" hidden="1" customWidth="1"/>
    <col min="11" max="11" width="11.42578125" customWidth="1"/>
    <col min="12" max="12" width="11.42578125" hidden="1" customWidth="1"/>
    <col min="13" max="13" width="14.85546875" hidden="1" customWidth="1"/>
    <col min="14" max="14" width="11.42578125" hidden="1" customWidth="1"/>
    <col min="15" max="17" width="11.42578125" style="1" hidden="1" customWidth="1"/>
    <col min="18" max="18" width="11.42578125" customWidth="1"/>
    <col min="19" max="19" width="14.28515625" customWidth="1"/>
    <col min="20" max="20" width="11.42578125" style="5" customWidth="1"/>
    <col min="21" max="21" width="11.42578125" style="34" customWidth="1"/>
    <col min="22" max="22" width="30.140625" style="5" hidden="1" customWidth="1"/>
    <col min="23" max="23" width="10.42578125" style="5" customWidth="1"/>
    <col min="24" max="24" width="11.42578125" style="5" customWidth="1"/>
    <col min="25" max="25" width="34.28515625" style="5" hidden="1" customWidth="1"/>
    <col min="26" max="27" width="11.42578125" style="5" customWidth="1"/>
    <col min="28" max="28" width="34.28515625" style="5" hidden="1" customWidth="1"/>
    <col min="29" max="30" width="11.42578125" style="5" customWidth="1"/>
    <col min="31" max="31" width="34.28515625" style="5" hidden="1" customWidth="1"/>
    <col min="32" max="32" width="11.42578125" style="5" customWidth="1"/>
    <col min="33" max="33" width="11.42578125" style="12" customWidth="1"/>
    <col min="34" max="34" width="34.28515625" hidden="1" customWidth="1"/>
    <col min="35" max="36" width="11.42578125" customWidth="1"/>
    <col min="37" max="37" width="34.28515625" hidden="1" customWidth="1"/>
    <col min="38" max="39" width="11.42578125" hidden="1" customWidth="1"/>
    <col min="40" max="40" width="34.28515625" hidden="1" customWidth="1"/>
    <col min="41" max="42" width="11.42578125" hidden="1" customWidth="1"/>
    <col min="43" max="43" width="34.28515625" hidden="1" customWidth="1"/>
    <col min="44" max="45" width="11.42578125" hidden="1" customWidth="1"/>
    <col min="46" max="46" width="34.28515625" hidden="1" customWidth="1"/>
    <col min="47" max="48" width="11.42578125" hidden="1" customWidth="1"/>
    <col min="49" max="49" width="34.28515625" hidden="1" customWidth="1"/>
    <col min="50" max="51" width="11.42578125" hidden="1" customWidth="1"/>
    <col min="52" max="52" width="34.28515625" hidden="1" customWidth="1"/>
    <col min="53" max="53" width="11.42578125" style="107" hidden="1" customWidth="1"/>
    <col min="54" max="54" width="11.42578125" hidden="1" customWidth="1"/>
    <col min="55" max="55" width="34.28515625" hidden="1" customWidth="1"/>
    <col min="56" max="57" width="11.42578125" customWidth="1"/>
    <col min="58" max="58" width="17" customWidth="1"/>
    <col min="59" max="59" width="11.42578125" style="11" customWidth="1"/>
  </cols>
  <sheetData>
    <row r="1" spans="2:59" hidden="1">
      <c r="R1" s="107"/>
      <c r="U1" s="5"/>
      <c r="BG1"/>
    </row>
    <row r="2" spans="2:59" ht="23.25" customHeight="1">
      <c r="B2" s="629" t="s">
        <v>453</v>
      </c>
      <c r="C2" s="629" t="s">
        <v>454</v>
      </c>
      <c r="D2" s="630"/>
      <c r="E2" s="631"/>
      <c r="F2" s="632"/>
      <c r="G2" s="8" t="s">
        <v>455</v>
      </c>
      <c r="H2" s="9"/>
      <c r="I2" s="9"/>
      <c r="J2" s="9"/>
      <c r="K2" s="9"/>
      <c r="L2" s="9"/>
      <c r="M2" s="9"/>
      <c r="N2" s="9"/>
      <c r="O2" s="9"/>
      <c r="P2" s="9"/>
      <c r="Q2" s="9"/>
      <c r="R2" s="110"/>
      <c r="T2" s="33"/>
      <c r="U2" s="33"/>
      <c r="V2" s="33"/>
      <c r="W2" s="33"/>
      <c r="X2" s="33"/>
      <c r="Y2" s="33"/>
      <c r="Z2" s="33"/>
      <c r="AA2" s="33"/>
      <c r="AB2" s="33"/>
      <c r="AC2" s="33"/>
      <c r="AD2" s="33"/>
      <c r="AE2" s="33"/>
      <c r="AF2" s="33"/>
      <c r="AG2" s="257"/>
      <c r="AH2" s="9"/>
      <c r="AI2" s="9"/>
      <c r="AJ2" s="9"/>
      <c r="AK2" s="9"/>
      <c r="AL2" s="9"/>
      <c r="AM2" s="9"/>
      <c r="AN2" s="9"/>
      <c r="AO2" s="9"/>
      <c r="AP2" s="9"/>
      <c r="AQ2" s="9"/>
      <c r="AR2" s="9"/>
      <c r="AS2" s="9"/>
      <c r="AT2" s="9"/>
      <c r="AU2" s="9"/>
      <c r="AV2" s="9"/>
      <c r="AW2" s="9"/>
      <c r="AX2" s="9"/>
      <c r="AY2" s="9"/>
      <c r="AZ2" s="9"/>
      <c r="BA2" s="108"/>
      <c r="BB2" s="9"/>
      <c r="BC2" s="10"/>
    </row>
    <row r="3" spans="2:59" ht="23.25" customHeight="1">
      <c r="B3" s="629"/>
      <c r="C3" s="629"/>
      <c r="D3" s="633"/>
      <c r="E3" s="634"/>
      <c r="F3" s="635"/>
      <c r="G3" s="627" t="s">
        <v>456</v>
      </c>
      <c r="H3" s="639" t="s">
        <v>46</v>
      </c>
      <c r="I3" s="641" t="s">
        <v>45</v>
      </c>
      <c r="J3" s="654" t="s">
        <v>457</v>
      </c>
      <c r="K3" s="641" t="s">
        <v>44</v>
      </c>
      <c r="L3" s="641" t="s">
        <v>458</v>
      </c>
      <c r="M3" s="656" t="s">
        <v>459</v>
      </c>
      <c r="N3" s="656"/>
      <c r="O3" s="626" t="s">
        <v>460</v>
      </c>
      <c r="P3" s="626"/>
      <c r="Q3" s="627" t="s">
        <v>461</v>
      </c>
      <c r="R3" s="650" t="s">
        <v>462</v>
      </c>
      <c r="T3" s="653" t="s">
        <v>463</v>
      </c>
      <c r="U3" s="653"/>
      <c r="V3" s="653"/>
      <c r="W3" s="653"/>
      <c r="X3" s="653"/>
      <c r="Y3" s="653"/>
      <c r="Z3" s="653"/>
      <c r="AA3" s="653"/>
      <c r="AB3" s="653"/>
      <c r="AC3" s="653"/>
      <c r="AD3" s="653"/>
      <c r="AE3" s="653"/>
      <c r="AF3" s="653"/>
      <c r="AG3" s="653"/>
      <c r="AH3" s="653"/>
      <c r="AI3" s="653"/>
      <c r="AJ3" s="653"/>
      <c r="AK3" s="653"/>
      <c r="AL3" s="653"/>
      <c r="AM3" s="653"/>
      <c r="AN3" s="653"/>
      <c r="AO3" s="653"/>
      <c r="AP3" s="653"/>
      <c r="AQ3" s="653"/>
      <c r="AR3" s="653"/>
      <c r="AS3" s="653"/>
      <c r="AT3" s="653"/>
      <c r="AU3" s="653"/>
      <c r="AV3" s="653"/>
      <c r="AW3" s="653"/>
      <c r="AX3" s="653"/>
      <c r="AY3" s="653"/>
      <c r="AZ3" s="653"/>
      <c r="BA3" s="653"/>
      <c r="BB3" s="653"/>
      <c r="BC3" s="653"/>
    </row>
    <row r="4" spans="2:59" ht="11.25" customHeight="1">
      <c r="B4" s="629"/>
      <c r="C4" s="629"/>
      <c r="D4" s="636"/>
      <c r="E4" s="637"/>
      <c r="F4" s="638"/>
      <c r="G4" s="627"/>
      <c r="H4" s="639"/>
      <c r="I4" s="641"/>
      <c r="J4" s="654"/>
      <c r="K4" s="641"/>
      <c r="L4" s="641"/>
      <c r="M4" s="408"/>
      <c r="N4" s="408"/>
      <c r="O4" s="418"/>
      <c r="P4" s="418"/>
      <c r="Q4" s="627"/>
      <c r="R4" s="651"/>
      <c r="T4" s="643" t="s">
        <v>48</v>
      </c>
      <c r="U4" s="643"/>
      <c r="V4" s="643"/>
      <c r="W4" s="643" t="s">
        <v>49</v>
      </c>
      <c r="X4" s="643"/>
      <c r="Y4" s="643"/>
      <c r="Z4" s="643" t="s">
        <v>50</v>
      </c>
      <c r="AA4" s="643"/>
      <c r="AB4" s="643"/>
      <c r="AC4" s="643" t="s">
        <v>51</v>
      </c>
      <c r="AD4" s="643"/>
      <c r="AE4" s="643"/>
      <c r="AF4" s="643" t="s">
        <v>52</v>
      </c>
      <c r="AG4" s="643"/>
      <c r="AH4" s="643"/>
      <c r="AI4" s="643" t="s">
        <v>53</v>
      </c>
      <c r="AJ4" s="643"/>
      <c r="AK4" s="643"/>
      <c r="AL4" s="643" t="s">
        <v>54</v>
      </c>
      <c r="AM4" s="643"/>
      <c r="AN4" s="643"/>
      <c r="AO4" s="643" t="s">
        <v>55</v>
      </c>
      <c r="AP4" s="643"/>
      <c r="AQ4" s="643"/>
      <c r="AR4" s="643" t="s">
        <v>56</v>
      </c>
      <c r="AS4" s="643"/>
      <c r="AT4" s="643"/>
      <c r="AU4" s="643" t="s">
        <v>57</v>
      </c>
      <c r="AV4" s="643"/>
      <c r="AW4" s="643"/>
      <c r="AX4" s="643" t="s">
        <v>58</v>
      </c>
      <c r="AY4" s="643"/>
      <c r="AZ4" s="643"/>
      <c r="BA4" s="643" t="s">
        <v>59</v>
      </c>
      <c r="BB4" s="643"/>
      <c r="BC4" s="643"/>
    </row>
    <row r="5" spans="2:59" ht="28.5" customHeight="1">
      <c r="B5" s="629"/>
      <c r="C5" s="629"/>
      <c r="D5" s="419" t="s">
        <v>12</v>
      </c>
      <c r="E5" s="419" t="s">
        <v>464</v>
      </c>
      <c r="F5" s="28" t="s">
        <v>465</v>
      </c>
      <c r="G5" s="628"/>
      <c r="H5" s="640"/>
      <c r="I5" s="642"/>
      <c r="J5" s="655"/>
      <c r="K5" s="642"/>
      <c r="L5" s="642"/>
      <c r="M5" s="13" t="s">
        <v>466</v>
      </c>
      <c r="N5" s="13" t="s">
        <v>467</v>
      </c>
      <c r="O5" s="29" t="s">
        <v>61</v>
      </c>
      <c r="P5" s="29" t="s">
        <v>62</v>
      </c>
      <c r="Q5" s="628"/>
      <c r="R5" s="652"/>
      <c r="S5" s="2" t="s">
        <v>468</v>
      </c>
      <c r="T5" s="17" t="s">
        <v>63</v>
      </c>
      <c r="U5" s="14" t="s">
        <v>64</v>
      </c>
      <c r="V5" s="14" t="s">
        <v>65</v>
      </c>
      <c r="W5" s="15" t="s">
        <v>63</v>
      </c>
      <c r="X5" s="16" t="s">
        <v>64</v>
      </c>
      <c r="Y5" s="16" t="s">
        <v>65</v>
      </c>
      <c r="Z5" s="17" t="s">
        <v>63</v>
      </c>
      <c r="AA5" s="14" t="s">
        <v>64</v>
      </c>
      <c r="AB5" s="14" t="s">
        <v>65</v>
      </c>
      <c r="AC5" s="15" t="s">
        <v>63</v>
      </c>
      <c r="AD5" s="16" t="s">
        <v>64</v>
      </c>
      <c r="AE5" s="16" t="s">
        <v>65</v>
      </c>
      <c r="AF5" s="17" t="s">
        <v>63</v>
      </c>
      <c r="AG5" s="14" t="s">
        <v>64</v>
      </c>
      <c r="AH5" s="14" t="s">
        <v>65</v>
      </c>
      <c r="AI5" s="15" t="s">
        <v>63</v>
      </c>
      <c r="AJ5" s="16" t="s">
        <v>64</v>
      </c>
      <c r="AK5" s="16" t="s">
        <v>65</v>
      </c>
      <c r="AL5" s="17" t="s">
        <v>63</v>
      </c>
      <c r="AM5" s="14" t="s">
        <v>64</v>
      </c>
      <c r="AN5" s="14" t="s">
        <v>65</v>
      </c>
      <c r="AO5" s="15" t="s">
        <v>63</v>
      </c>
      <c r="AP5" s="16" t="s">
        <v>64</v>
      </c>
      <c r="AQ5" s="16" t="s">
        <v>65</v>
      </c>
      <c r="AR5" s="17" t="s">
        <v>63</v>
      </c>
      <c r="AS5" s="14" t="s">
        <v>64</v>
      </c>
      <c r="AT5" s="14" t="s">
        <v>65</v>
      </c>
      <c r="AU5" s="15" t="s">
        <v>63</v>
      </c>
      <c r="AV5" s="16" t="s">
        <v>64</v>
      </c>
      <c r="AW5" s="16" t="s">
        <v>65</v>
      </c>
      <c r="AX5" s="17" t="s">
        <v>63</v>
      </c>
      <c r="AY5" s="14" t="s">
        <v>64</v>
      </c>
      <c r="AZ5" s="14" t="s">
        <v>65</v>
      </c>
      <c r="BA5" s="109" t="s">
        <v>63</v>
      </c>
      <c r="BB5" s="16" t="s">
        <v>64</v>
      </c>
      <c r="BC5" s="16" t="s">
        <v>65</v>
      </c>
      <c r="BD5" s="18" t="s">
        <v>67</v>
      </c>
      <c r="BE5" s="18" t="s">
        <v>68</v>
      </c>
      <c r="BF5" s="18" t="s">
        <v>69</v>
      </c>
    </row>
    <row r="6" spans="2:59" s="2" customFormat="1" ht="37.5" hidden="1" customHeight="1">
      <c r="B6" s="44" t="s">
        <v>70</v>
      </c>
      <c r="C6" s="27" t="s">
        <v>469</v>
      </c>
      <c r="D6" s="644" t="s">
        <v>13</v>
      </c>
      <c r="E6" s="647" t="s">
        <v>71</v>
      </c>
      <c r="F6" s="647" t="s">
        <v>470</v>
      </c>
      <c r="G6" s="409" t="s">
        <v>471</v>
      </c>
      <c r="H6" s="409" t="s">
        <v>472</v>
      </c>
      <c r="I6" s="409">
        <v>0.25</v>
      </c>
      <c r="J6" s="409" t="s">
        <v>75</v>
      </c>
      <c r="K6" s="409" t="s">
        <v>73</v>
      </c>
      <c r="L6" s="409" t="s">
        <v>473</v>
      </c>
      <c r="M6" s="409" t="s">
        <v>474</v>
      </c>
      <c r="N6" s="409" t="s">
        <v>475</v>
      </c>
      <c r="O6" s="37">
        <v>44197</v>
      </c>
      <c r="P6" s="37">
        <v>44561</v>
      </c>
      <c r="Q6" s="409">
        <f>+U6+X6+AA6+AD6+AG6+AJ6+AM6+AP6+AS6+AV6+AY6+BB6</f>
        <v>0.4375</v>
      </c>
      <c r="R6" s="409">
        <v>72</v>
      </c>
      <c r="S6" s="412">
        <f t="shared" ref="S6:S74" si="0">+T6+W6+Z6+AC6+AF6+AI6+AL6+AO6+AR6+AU6+AX6+BA6</f>
        <v>36.5</v>
      </c>
      <c r="T6" s="409">
        <v>8.3333333333333329E-2</v>
      </c>
      <c r="U6" s="54">
        <f>+(4/6)*T6</f>
        <v>5.5555555555555552E-2</v>
      </c>
      <c r="V6" s="54" t="s">
        <v>476</v>
      </c>
      <c r="W6" s="409">
        <v>8.3333333333333329E-2</v>
      </c>
      <c r="X6" s="54">
        <v>9.7222222222222224E-2</v>
      </c>
      <c r="Y6" s="54" t="s">
        <v>476</v>
      </c>
      <c r="Z6" s="409">
        <v>8.3333333333333329E-2</v>
      </c>
      <c r="AA6" s="409">
        <v>9.7222222222222224E-2</v>
      </c>
      <c r="AB6" s="120" t="s">
        <v>476</v>
      </c>
      <c r="AC6" s="409">
        <v>8.3333333333333329E-2</v>
      </c>
      <c r="AD6" s="120">
        <v>4.1666666666666664E-2</v>
      </c>
      <c r="AE6" s="120" t="s">
        <v>476</v>
      </c>
      <c r="AF6" s="409">
        <v>8.3333333333333329E-2</v>
      </c>
      <c r="AG6" s="258">
        <f>+(6/8)*AF6</f>
        <v>6.25E-2</v>
      </c>
      <c r="AH6" s="174" t="s">
        <v>476</v>
      </c>
      <c r="AI6" s="409">
        <f>6/R6</f>
        <v>8.3333333333333329E-2</v>
      </c>
      <c r="AJ6" s="409">
        <f>+(6/6)*AI6</f>
        <v>8.3333333333333329E-2</v>
      </c>
      <c r="AK6" s="409" t="s">
        <v>476</v>
      </c>
      <c r="AL6" s="409">
        <v>6</v>
      </c>
      <c r="AM6" s="409"/>
      <c r="AN6" s="409"/>
      <c r="AO6" s="409">
        <v>6</v>
      </c>
      <c r="AP6" s="409"/>
      <c r="AQ6" s="409"/>
      <c r="AR6" s="409">
        <v>6</v>
      </c>
      <c r="AS6" s="409"/>
      <c r="AT6" s="409"/>
      <c r="AU6" s="409">
        <v>6</v>
      </c>
      <c r="AV6" s="409"/>
      <c r="AW6" s="409"/>
      <c r="AX6" s="409">
        <v>6</v>
      </c>
      <c r="AY6" s="409"/>
      <c r="AZ6" s="409"/>
      <c r="BA6" s="175">
        <v>6</v>
      </c>
      <c r="BB6" s="412"/>
      <c r="BC6" s="412"/>
      <c r="BD6" s="413">
        <f>+T6+W6+Z6+AC6+AF6+AI6</f>
        <v>0.49999999999999994</v>
      </c>
      <c r="BE6" s="413">
        <f>+U6+X6+AA6+AD6+AG6+AJ6</f>
        <v>0.4375</v>
      </c>
      <c r="BF6" s="46">
        <f>+IF(BD6=0,+IF(BE6=0,"No programación, No avance",+IF(BE6&gt;0,+IF(BD6=0,BE6/R6))),BE6/BD6)</f>
        <v>0.87500000000000011</v>
      </c>
      <c r="BG6" s="2">
        <f>+AVERAGE(BF6:BF15)</f>
        <v>2.1964285714285716</v>
      </c>
    </row>
    <row r="7" spans="2:59" s="2" customFormat="1" ht="60">
      <c r="B7" s="44" t="s">
        <v>70</v>
      </c>
      <c r="C7" s="27" t="s">
        <v>477</v>
      </c>
      <c r="D7" s="645"/>
      <c r="E7" s="648"/>
      <c r="F7" s="648"/>
      <c r="G7" s="410" t="s">
        <v>478</v>
      </c>
      <c r="H7" s="410" t="s">
        <v>472</v>
      </c>
      <c r="I7" s="410">
        <v>0.25</v>
      </c>
      <c r="J7" s="410" t="s">
        <v>75</v>
      </c>
      <c r="K7" s="410" t="s">
        <v>73</v>
      </c>
      <c r="L7" s="410" t="s">
        <v>473</v>
      </c>
      <c r="M7" s="410" t="s">
        <v>479</v>
      </c>
      <c r="N7" s="410" t="s">
        <v>475</v>
      </c>
      <c r="O7" s="38">
        <v>44197</v>
      </c>
      <c r="P7" s="38">
        <v>44561</v>
      </c>
      <c r="Q7" s="410">
        <f t="shared" ref="Q7:Q75" si="1">+U7+X7+AA7+AD7+AG7+AJ7+AM7+AP7+AS7+AV7+AY7+BB7</f>
        <v>1.9166666666666665</v>
      </c>
      <c r="R7" s="410">
        <v>12</v>
      </c>
      <c r="S7" s="413">
        <f t="shared" si="0"/>
        <v>6.5</v>
      </c>
      <c r="T7" s="410">
        <v>8.3333333333333329E-2</v>
      </c>
      <c r="U7" s="51">
        <v>8.3333333333333329E-2</v>
      </c>
      <c r="V7" s="51" t="s">
        <v>476</v>
      </c>
      <c r="W7" s="410">
        <v>8.3333333333333329E-2</v>
      </c>
      <c r="X7" s="51">
        <v>8.3333333333333329E-2</v>
      </c>
      <c r="Y7" s="51" t="s">
        <v>476</v>
      </c>
      <c r="Z7" s="410">
        <v>8.3333333333333329E-2</v>
      </c>
      <c r="AA7" s="410">
        <v>0.41666666666666663</v>
      </c>
      <c r="AB7" s="30" t="s">
        <v>476</v>
      </c>
      <c r="AC7" s="410">
        <v>8.3333333333333329E-2</v>
      </c>
      <c r="AD7" s="30">
        <v>0.25</v>
      </c>
      <c r="AE7" s="30" t="s">
        <v>476</v>
      </c>
      <c r="AF7" s="410">
        <v>8.3333333333333329E-2</v>
      </c>
      <c r="AG7" s="259">
        <v>0.83333333333333326</v>
      </c>
      <c r="AH7" s="171" t="s">
        <v>476</v>
      </c>
      <c r="AI7" s="410">
        <f>1/R7</f>
        <v>8.3333333333333329E-2</v>
      </c>
      <c r="AJ7" s="410">
        <f>+(3/1)*AI7</f>
        <v>0.25</v>
      </c>
      <c r="AK7" s="410" t="s">
        <v>476</v>
      </c>
      <c r="AL7" s="410">
        <v>1</v>
      </c>
      <c r="AM7" s="410"/>
      <c r="AN7" s="410"/>
      <c r="AO7" s="410">
        <v>1</v>
      </c>
      <c r="AP7" s="410"/>
      <c r="AQ7" s="410"/>
      <c r="AR7" s="410">
        <v>1</v>
      </c>
      <c r="AS7" s="410"/>
      <c r="AT7" s="410"/>
      <c r="AU7" s="410">
        <v>1</v>
      </c>
      <c r="AV7" s="410"/>
      <c r="AW7" s="410"/>
      <c r="AX7" s="410">
        <v>1</v>
      </c>
      <c r="AY7" s="410"/>
      <c r="AZ7" s="410"/>
      <c r="BA7" s="137">
        <v>1</v>
      </c>
      <c r="BB7" s="413"/>
      <c r="BC7" s="413"/>
      <c r="BD7" s="413">
        <f t="shared" ref="BD7:BD70" si="2">+T7+W7+Z7+AC7+AF7+AI7</f>
        <v>0.49999999999999994</v>
      </c>
      <c r="BE7" s="413">
        <f t="shared" ref="BE7:BE70" si="3">+U7+X7+AA7+AD7+AG7+AJ7</f>
        <v>1.9166666666666665</v>
      </c>
      <c r="BF7" s="48">
        <f t="shared" ref="BF7:BF75" si="4">+IF(BD7=0,+IF(BE7=0,"No programación, No avance",+IF(BE7&gt;0,+IF(BD7=0,BE7/R7))),BE7/BD7)</f>
        <v>3.8333333333333335</v>
      </c>
    </row>
    <row r="8" spans="2:59" s="2" customFormat="1" ht="60">
      <c r="B8" s="44" t="s">
        <v>70</v>
      </c>
      <c r="C8" s="27" t="s">
        <v>480</v>
      </c>
      <c r="D8" s="645"/>
      <c r="E8" s="648"/>
      <c r="F8" s="648"/>
      <c r="G8" s="410" t="s">
        <v>481</v>
      </c>
      <c r="H8" s="410" t="s">
        <v>472</v>
      </c>
      <c r="I8" s="410">
        <v>0.25</v>
      </c>
      <c r="J8" s="410" t="s">
        <v>75</v>
      </c>
      <c r="K8" s="410" t="s">
        <v>73</v>
      </c>
      <c r="L8" s="410" t="s">
        <v>482</v>
      </c>
      <c r="M8" s="410" t="s">
        <v>483</v>
      </c>
      <c r="N8" s="410" t="s">
        <v>475</v>
      </c>
      <c r="O8" s="38">
        <v>44197</v>
      </c>
      <c r="P8" s="38">
        <v>44561</v>
      </c>
      <c r="Q8" s="410">
        <f t="shared" si="1"/>
        <v>3.1666666666666665</v>
      </c>
      <c r="R8" s="410">
        <v>12</v>
      </c>
      <c r="S8" s="172">
        <f t="shared" si="0"/>
        <v>6.5</v>
      </c>
      <c r="T8" s="410">
        <v>8.3333333333333329E-2</v>
      </c>
      <c r="U8" s="51">
        <v>8.3333333333333329E-2</v>
      </c>
      <c r="V8" s="51" t="s">
        <v>484</v>
      </c>
      <c r="W8" s="410">
        <v>8.3333333333333329E-2</v>
      </c>
      <c r="X8" s="51">
        <v>8.3333333333333329E-2</v>
      </c>
      <c r="Y8" s="51" t="s">
        <v>484</v>
      </c>
      <c r="Z8" s="410">
        <v>8.3333333333333329E-2</v>
      </c>
      <c r="AA8" s="410">
        <v>0.91666666666666663</v>
      </c>
      <c r="AB8" s="30" t="s">
        <v>484</v>
      </c>
      <c r="AC8" s="410">
        <v>8.3333333333333329E-2</v>
      </c>
      <c r="AD8" s="30">
        <v>0.83333333333333326</v>
      </c>
      <c r="AE8" s="30" t="s">
        <v>484</v>
      </c>
      <c r="AF8" s="410">
        <v>8.3333333333333329E-2</v>
      </c>
      <c r="AG8" s="259">
        <v>0.91666666666666663</v>
      </c>
      <c r="AH8" s="171" t="s">
        <v>484</v>
      </c>
      <c r="AI8" s="410">
        <f>1/R8</f>
        <v>8.3333333333333329E-2</v>
      </c>
      <c r="AJ8" s="410">
        <f>+(4/1)*AI8</f>
        <v>0.33333333333333331</v>
      </c>
      <c r="AK8" s="410" t="s">
        <v>484</v>
      </c>
      <c r="AL8" s="410">
        <v>1</v>
      </c>
      <c r="AM8" s="410"/>
      <c r="AN8" s="410"/>
      <c r="AO8" s="410">
        <v>1</v>
      </c>
      <c r="AP8" s="410"/>
      <c r="AQ8" s="410"/>
      <c r="AR8" s="410">
        <v>1</v>
      </c>
      <c r="AS8" s="410"/>
      <c r="AT8" s="410"/>
      <c r="AU8" s="410">
        <v>1</v>
      </c>
      <c r="AV8" s="410"/>
      <c r="AW8" s="410"/>
      <c r="AX8" s="410">
        <v>1</v>
      </c>
      <c r="AY8" s="410"/>
      <c r="AZ8" s="410"/>
      <c r="BA8" s="137">
        <v>1</v>
      </c>
      <c r="BB8" s="413"/>
      <c r="BC8" s="413"/>
      <c r="BD8" s="413">
        <f t="shared" si="2"/>
        <v>0.49999999999999994</v>
      </c>
      <c r="BE8" s="413">
        <f t="shared" si="3"/>
        <v>3.1666666666666665</v>
      </c>
      <c r="BF8" s="48">
        <f t="shared" si="4"/>
        <v>6.3333333333333339</v>
      </c>
    </row>
    <row r="9" spans="2:59" s="2" customFormat="1" ht="69" hidden="1" customHeight="1">
      <c r="B9" s="44" t="s">
        <v>70</v>
      </c>
      <c r="C9" s="27" t="s">
        <v>485</v>
      </c>
      <c r="D9" s="645"/>
      <c r="E9" s="648"/>
      <c r="F9" s="648"/>
      <c r="G9" s="410" t="s">
        <v>486</v>
      </c>
      <c r="H9" s="410" t="s">
        <v>472</v>
      </c>
      <c r="I9" s="410">
        <v>0.25</v>
      </c>
      <c r="J9" s="410" t="s">
        <v>487</v>
      </c>
      <c r="K9" s="410" t="s">
        <v>73</v>
      </c>
      <c r="L9" s="410" t="s">
        <v>60</v>
      </c>
      <c r="M9" s="410" t="s">
        <v>488</v>
      </c>
      <c r="N9" s="410" t="s">
        <v>475</v>
      </c>
      <c r="O9" s="38">
        <v>44197</v>
      </c>
      <c r="P9" s="38">
        <v>44561</v>
      </c>
      <c r="Q9" s="410">
        <f t="shared" si="1"/>
        <v>0</v>
      </c>
      <c r="R9" s="410">
        <v>4</v>
      </c>
      <c r="S9" s="413">
        <f t="shared" si="0"/>
        <v>1</v>
      </c>
      <c r="T9" s="410">
        <v>0</v>
      </c>
      <c r="U9" s="51">
        <v>0</v>
      </c>
      <c r="V9" s="51" t="s">
        <v>489</v>
      </c>
      <c r="W9" s="410">
        <v>0</v>
      </c>
      <c r="X9" s="51">
        <v>0</v>
      </c>
      <c r="Y9" s="51" t="s">
        <v>489</v>
      </c>
      <c r="Z9" s="410">
        <v>0</v>
      </c>
      <c r="AA9" s="410">
        <v>0</v>
      </c>
      <c r="AB9" s="321" t="s">
        <v>143</v>
      </c>
      <c r="AC9" s="410">
        <v>0</v>
      </c>
      <c r="AD9" s="30">
        <v>0</v>
      </c>
      <c r="AE9" s="30" t="s">
        <v>143</v>
      </c>
      <c r="AF9" s="410">
        <f>4/R9</f>
        <v>1</v>
      </c>
      <c r="AG9" s="259">
        <v>0</v>
      </c>
      <c r="AH9" s="171" t="s">
        <v>143</v>
      </c>
      <c r="AI9" s="410">
        <v>0</v>
      </c>
      <c r="AJ9" s="410">
        <v>0</v>
      </c>
      <c r="AK9" s="410"/>
      <c r="AL9" s="410">
        <v>0</v>
      </c>
      <c r="AM9" s="410"/>
      <c r="AN9" s="410"/>
      <c r="AO9" s="410">
        <v>0</v>
      </c>
      <c r="AP9" s="410"/>
      <c r="AQ9" s="410"/>
      <c r="AR9" s="410">
        <v>0</v>
      </c>
      <c r="AS9" s="410"/>
      <c r="AT9" s="410"/>
      <c r="AU9" s="410">
        <v>0</v>
      </c>
      <c r="AV9" s="410"/>
      <c r="AW9" s="410"/>
      <c r="AX9" s="410">
        <v>0</v>
      </c>
      <c r="AY9" s="410"/>
      <c r="AZ9" s="410"/>
      <c r="BA9" s="137">
        <v>0</v>
      </c>
      <c r="BB9" s="413"/>
      <c r="BC9" s="413"/>
      <c r="BD9" s="413">
        <f t="shared" si="2"/>
        <v>1</v>
      </c>
      <c r="BE9" s="413">
        <f t="shared" si="3"/>
        <v>0</v>
      </c>
      <c r="BF9" s="48">
        <f t="shared" si="4"/>
        <v>0</v>
      </c>
      <c r="BG9" s="47"/>
    </row>
    <row r="10" spans="2:59" s="2" customFormat="1" ht="60" hidden="1" customHeight="1" thickBot="1">
      <c r="B10" s="44" t="s">
        <v>76</v>
      </c>
      <c r="C10" s="27" t="s">
        <v>490</v>
      </c>
      <c r="D10" s="645"/>
      <c r="E10" s="648" t="s">
        <v>77</v>
      </c>
      <c r="F10" s="648" t="s">
        <v>491</v>
      </c>
      <c r="G10" s="410" t="s">
        <v>492</v>
      </c>
      <c r="H10" s="410" t="s">
        <v>472</v>
      </c>
      <c r="I10" s="410">
        <v>0.5</v>
      </c>
      <c r="J10" s="410" t="s">
        <v>80</v>
      </c>
      <c r="K10" s="410" t="s">
        <v>73</v>
      </c>
      <c r="L10" s="410" t="s">
        <v>493</v>
      </c>
      <c r="M10" s="410" t="s">
        <v>494</v>
      </c>
      <c r="N10" s="410" t="s">
        <v>475</v>
      </c>
      <c r="O10" s="38">
        <v>44197</v>
      </c>
      <c r="P10" s="38">
        <v>44561</v>
      </c>
      <c r="Q10" s="410">
        <f t="shared" si="1"/>
        <v>8.3333333333333329E-2</v>
      </c>
      <c r="R10" s="410">
        <v>12</v>
      </c>
      <c r="S10" s="413">
        <f t="shared" si="0"/>
        <v>6.5</v>
      </c>
      <c r="T10" s="410">
        <v>8.3333333333333329E-2</v>
      </c>
      <c r="U10" s="51">
        <v>8.3333333333333329E-2</v>
      </c>
      <c r="V10" s="51" t="s">
        <v>495</v>
      </c>
      <c r="W10" s="410">
        <v>8.3333333333333329E-2</v>
      </c>
      <c r="X10" s="51">
        <v>0</v>
      </c>
      <c r="Y10" s="51" t="s">
        <v>496</v>
      </c>
      <c r="Z10" s="410">
        <v>8.3333333333333329E-2</v>
      </c>
      <c r="AA10" s="410">
        <v>0</v>
      </c>
      <c r="AB10" s="30" t="s">
        <v>497</v>
      </c>
      <c r="AC10" s="410">
        <v>8.3333333333333329E-2</v>
      </c>
      <c r="AD10" s="30">
        <v>0</v>
      </c>
      <c r="AE10" s="30" t="s">
        <v>498</v>
      </c>
      <c r="AF10" s="410">
        <v>8.3333333333333329E-2</v>
      </c>
      <c r="AG10" s="260">
        <v>0</v>
      </c>
      <c r="AH10" s="171" t="s">
        <v>499</v>
      </c>
      <c r="AI10" s="410">
        <v>8.3333333333333329E-2</v>
      </c>
      <c r="AJ10" s="410">
        <v>0</v>
      </c>
      <c r="AK10" s="410"/>
      <c r="AL10" s="410">
        <v>1</v>
      </c>
      <c r="AM10" s="410"/>
      <c r="AN10" s="410"/>
      <c r="AO10" s="410">
        <v>1</v>
      </c>
      <c r="AP10" s="410"/>
      <c r="AQ10" s="410"/>
      <c r="AR10" s="410">
        <v>1</v>
      </c>
      <c r="AS10" s="410"/>
      <c r="AT10" s="410"/>
      <c r="AU10" s="410">
        <v>1</v>
      </c>
      <c r="AV10" s="410"/>
      <c r="AW10" s="410"/>
      <c r="AX10" s="410">
        <v>1</v>
      </c>
      <c r="AY10" s="410"/>
      <c r="AZ10" s="410"/>
      <c r="BA10" s="137">
        <v>1</v>
      </c>
      <c r="BB10" s="413"/>
      <c r="BC10" s="413"/>
      <c r="BD10" s="413">
        <f t="shared" si="2"/>
        <v>0.49999999999999994</v>
      </c>
      <c r="BE10" s="413">
        <f t="shared" si="3"/>
        <v>8.3333333333333329E-2</v>
      </c>
      <c r="BF10" s="48">
        <f t="shared" si="4"/>
        <v>0.16666666666666669</v>
      </c>
    </row>
    <row r="11" spans="2:59" s="2" customFormat="1" ht="37.5" customHeight="1">
      <c r="B11" s="44" t="s">
        <v>76</v>
      </c>
      <c r="C11" s="27" t="s">
        <v>500</v>
      </c>
      <c r="D11" s="645"/>
      <c r="E11" s="648"/>
      <c r="F11" s="648"/>
      <c r="G11" s="410" t="s">
        <v>501</v>
      </c>
      <c r="H11" s="410" t="s">
        <v>472</v>
      </c>
      <c r="I11" s="410">
        <v>0.25</v>
      </c>
      <c r="J11" s="410" t="s">
        <v>80</v>
      </c>
      <c r="K11" s="410" t="s">
        <v>73</v>
      </c>
      <c r="L11" s="410" t="s">
        <v>493</v>
      </c>
      <c r="M11" s="410" t="s">
        <v>494</v>
      </c>
      <c r="N11" s="410" t="s">
        <v>475</v>
      </c>
      <c r="O11" s="38">
        <v>44197</v>
      </c>
      <c r="P11" s="38">
        <v>44561</v>
      </c>
      <c r="Q11" s="410">
        <f t="shared" si="1"/>
        <v>1.0833333333333333</v>
      </c>
      <c r="R11" s="410">
        <v>12</v>
      </c>
      <c r="S11" s="413">
        <f t="shared" si="0"/>
        <v>6.5</v>
      </c>
      <c r="T11" s="410">
        <v>0</v>
      </c>
      <c r="U11" s="51">
        <f>1/12</f>
        <v>8.3333333333333329E-2</v>
      </c>
      <c r="V11" s="51" t="s">
        <v>502</v>
      </c>
      <c r="W11" s="410">
        <v>0</v>
      </c>
      <c r="X11" s="51">
        <f>4/R11</f>
        <v>0.33333333333333331</v>
      </c>
      <c r="Y11" s="51" t="s">
        <v>503</v>
      </c>
      <c r="Z11" s="410">
        <f>3/R11</f>
        <v>0.25</v>
      </c>
      <c r="AA11" s="410">
        <f>+(7/3)*Z11</f>
        <v>0.58333333333333337</v>
      </c>
      <c r="AB11" s="30" t="s">
        <v>504</v>
      </c>
      <c r="AC11" s="410">
        <v>0</v>
      </c>
      <c r="AD11" s="30">
        <f>1/12</f>
        <v>8.3333333333333329E-2</v>
      </c>
      <c r="AE11" s="30" t="s">
        <v>505</v>
      </c>
      <c r="AF11" s="410">
        <v>0</v>
      </c>
      <c r="AG11" s="260">
        <v>0</v>
      </c>
      <c r="AH11" s="171" t="s">
        <v>506</v>
      </c>
      <c r="AI11" s="410">
        <f>3/R11</f>
        <v>0.25</v>
      </c>
      <c r="AJ11" s="410">
        <v>0</v>
      </c>
      <c r="AK11" s="410"/>
      <c r="AL11" s="410">
        <v>0</v>
      </c>
      <c r="AM11" s="410"/>
      <c r="AN11" s="410"/>
      <c r="AO11" s="410">
        <v>0</v>
      </c>
      <c r="AP11" s="410"/>
      <c r="AQ11" s="410"/>
      <c r="AR11" s="410">
        <v>3</v>
      </c>
      <c r="AS11" s="410"/>
      <c r="AT11" s="410"/>
      <c r="AU11" s="410">
        <v>0</v>
      </c>
      <c r="AV11" s="410"/>
      <c r="AW11" s="410"/>
      <c r="AX11" s="410">
        <v>0</v>
      </c>
      <c r="AY11" s="410"/>
      <c r="AZ11" s="410"/>
      <c r="BA11" s="137">
        <v>3</v>
      </c>
      <c r="BB11" s="413"/>
      <c r="BC11" s="413"/>
      <c r="BD11" s="413">
        <f t="shared" si="2"/>
        <v>0.5</v>
      </c>
      <c r="BE11" s="413">
        <f t="shared" si="3"/>
        <v>1.0833333333333333</v>
      </c>
      <c r="BF11" s="48">
        <f t="shared" si="4"/>
        <v>2.1666666666666665</v>
      </c>
    </row>
    <row r="12" spans="2:59" s="2" customFormat="1" ht="72" hidden="1">
      <c r="B12" s="44" t="s">
        <v>76</v>
      </c>
      <c r="C12" s="27" t="s">
        <v>507</v>
      </c>
      <c r="D12" s="645"/>
      <c r="E12" s="648"/>
      <c r="F12" s="648"/>
      <c r="G12" s="410" t="s">
        <v>508</v>
      </c>
      <c r="H12" s="410" t="s">
        <v>472</v>
      </c>
      <c r="I12" s="410">
        <v>0.25</v>
      </c>
      <c r="J12" s="410" t="s">
        <v>80</v>
      </c>
      <c r="K12" s="410" t="s">
        <v>73</v>
      </c>
      <c r="L12" s="410" t="s">
        <v>493</v>
      </c>
      <c r="M12" s="410" t="s">
        <v>494</v>
      </c>
      <c r="N12" s="410" t="s">
        <v>475</v>
      </c>
      <c r="O12" s="38">
        <v>44197</v>
      </c>
      <c r="P12" s="38">
        <v>44561</v>
      </c>
      <c r="Q12" s="410">
        <f t="shared" si="1"/>
        <v>1</v>
      </c>
      <c r="R12" s="410">
        <v>4</v>
      </c>
      <c r="S12" s="413">
        <f t="shared" si="0"/>
        <v>2.5</v>
      </c>
      <c r="T12" s="410">
        <v>0</v>
      </c>
      <c r="U12" s="51">
        <v>0</v>
      </c>
      <c r="V12" s="51" t="s">
        <v>509</v>
      </c>
      <c r="W12" s="410">
        <v>0</v>
      </c>
      <c r="X12" s="51">
        <v>0</v>
      </c>
      <c r="Y12" s="51" t="s">
        <v>510</v>
      </c>
      <c r="Z12" s="410">
        <v>0</v>
      </c>
      <c r="AA12" s="410">
        <v>0</v>
      </c>
      <c r="AB12" s="30" t="s">
        <v>511</v>
      </c>
      <c r="AC12" s="410">
        <v>0</v>
      </c>
      <c r="AD12" s="30">
        <v>1</v>
      </c>
      <c r="AE12" s="30" t="s">
        <v>512</v>
      </c>
      <c r="AF12" s="410">
        <v>0</v>
      </c>
      <c r="AG12" s="260">
        <v>0</v>
      </c>
      <c r="AH12" s="171" t="s">
        <v>513</v>
      </c>
      <c r="AI12" s="410">
        <f>2/R12</f>
        <v>0.5</v>
      </c>
      <c r="AJ12" s="410">
        <v>0</v>
      </c>
      <c r="AK12" s="410"/>
      <c r="AL12" s="410">
        <v>0</v>
      </c>
      <c r="AM12" s="410"/>
      <c r="AN12" s="410"/>
      <c r="AO12" s="410">
        <v>0</v>
      </c>
      <c r="AP12" s="410"/>
      <c r="AQ12" s="410"/>
      <c r="AR12" s="410">
        <v>0</v>
      </c>
      <c r="AS12" s="410"/>
      <c r="AT12" s="410"/>
      <c r="AU12" s="410">
        <v>0</v>
      </c>
      <c r="AV12" s="410"/>
      <c r="AW12" s="410"/>
      <c r="AX12" s="410">
        <v>0</v>
      </c>
      <c r="AY12" s="410"/>
      <c r="AZ12" s="410"/>
      <c r="BA12" s="137">
        <v>2</v>
      </c>
      <c r="BB12" s="413"/>
      <c r="BC12" s="413"/>
      <c r="BD12" s="413">
        <f t="shared" si="2"/>
        <v>0.5</v>
      </c>
      <c r="BE12" s="413">
        <f t="shared" si="3"/>
        <v>1</v>
      </c>
      <c r="BF12" s="48">
        <f t="shared" si="4"/>
        <v>2</v>
      </c>
      <c r="BG12" s="47"/>
    </row>
    <row r="13" spans="2:59" s="2" customFormat="1" ht="48" hidden="1" customHeight="1">
      <c r="B13" s="44" t="s">
        <v>81</v>
      </c>
      <c r="C13" s="27" t="s">
        <v>514</v>
      </c>
      <c r="D13" s="645"/>
      <c r="E13" s="648" t="s">
        <v>82</v>
      </c>
      <c r="F13" s="648" t="s">
        <v>515</v>
      </c>
      <c r="G13" s="410" t="s">
        <v>516</v>
      </c>
      <c r="H13" s="410" t="s">
        <v>472</v>
      </c>
      <c r="I13" s="410">
        <v>0.4</v>
      </c>
      <c r="J13" s="410" t="s">
        <v>517</v>
      </c>
      <c r="K13" s="410" t="s">
        <v>79</v>
      </c>
      <c r="L13" s="410" t="s">
        <v>518</v>
      </c>
      <c r="M13" s="410" t="s">
        <v>519</v>
      </c>
      <c r="N13" s="410" t="s">
        <v>475</v>
      </c>
      <c r="O13" s="38">
        <v>44197</v>
      </c>
      <c r="P13" s="38">
        <v>44561</v>
      </c>
      <c r="Q13" s="410">
        <f>+U13+X13+AA13+AD13+AG13+AJ13+AM13+AP13+AS13+AV13+AY13+BB13</f>
        <v>0</v>
      </c>
      <c r="R13" s="410">
        <v>0.25</v>
      </c>
      <c r="S13" s="413">
        <f t="shared" si="0"/>
        <v>0.25</v>
      </c>
      <c r="T13" s="410">
        <v>0</v>
      </c>
      <c r="U13" s="111">
        <v>0</v>
      </c>
      <c r="V13" s="51" t="s">
        <v>520</v>
      </c>
      <c r="W13" s="410">
        <v>0</v>
      </c>
      <c r="X13" s="281">
        <v>0</v>
      </c>
      <c r="Y13" s="51" t="s">
        <v>520</v>
      </c>
      <c r="Z13" s="410">
        <v>0</v>
      </c>
      <c r="AA13" s="286">
        <v>0</v>
      </c>
      <c r="AB13" s="30" t="s">
        <v>521</v>
      </c>
      <c r="AC13" s="410">
        <v>0</v>
      </c>
      <c r="AD13" s="301">
        <v>0</v>
      </c>
      <c r="AE13" s="30" t="s">
        <v>521</v>
      </c>
      <c r="AF13" s="410">
        <v>0</v>
      </c>
      <c r="AG13" s="306">
        <v>0</v>
      </c>
      <c r="AH13" s="171" t="s">
        <v>521</v>
      </c>
      <c r="AI13" s="410">
        <v>0</v>
      </c>
      <c r="AJ13" s="410">
        <v>0</v>
      </c>
      <c r="AK13" s="410" t="s">
        <v>520</v>
      </c>
      <c r="AL13" s="410">
        <v>0</v>
      </c>
      <c r="AM13" s="410"/>
      <c r="AN13" s="410"/>
      <c r="AO13" s="410">
        <v>0</v>
      </c>
      <c r="AP13" s="410"/>
      <c r="AQ13" s="410"/>
      <c r="AR13" s="410">
        <v>0</v>
      </c>
      <c r="AS13" s="410"/>
      <c r="AT13" s="410"/>
      <c r="AU13" s="410">
        <v>0</v>
      </c>
      <c r="AV13" s="410"/>
      <c r="AW13" s="410"/>
      <c r="AX13" s="410">
        <v>0</v>
      </c>
      <c r="AY13" s="410"/>
      <c r="AZ13" s="410"/>
      <c r="BA13" s="173">
        <v>0.25</v>
      </c>
      <c r="BB13" s="413"/>
      <c r="BC13" s="413"/>
      <c r="BD13" s="413">
        <f t="shared" si="2"/>
        <v>0</v>
      </c>
      <c r="BE13" s="413">
        <f t="shared" si="3"/>
        <v>0</v>
      </c>
      <c r="BF13" s="48" t="str">
        <f t="shared" si="4"/>
        <v>No programación, No avance</v>
      </c>
    </row>
    <row r="14" spans="2:59" s="2" customFormat="1" ht="48" hidden="1">
      <c r="B14" s="44" t="s">
        <v>81</v>
      </c>
      <c r="C14" s="27" t="s">
        <v>522</v>
      </c>
      <c r="D14" s="645"/>
      <c r="E14" s="648"/>
      <c r="F14" s="648"/>
      <c r="G14" s="410" t="s">
        <v>523</v>
      </c>
      <c r="H14" s="410" t="s">
        <v>472</v>
      </c>
      <c r="I14" s="410">
        <v>0.4</v>
      </c>
      <c r="J14" s="410" t="s">
        <v>517</v>
      </c>
      <c r="K14" s="410" t="s">
        <v>79</v>
      </c>
      <c r="L14" s="410" t="s">
        <v>518</v>
      </c>
      <c r="M14" s="410" t="s">
        <v>524</v>
      </c>
      <c r="N14" s="410" t="s">
        <v>475</v>
      </c>
      <c r="O14" s="38">
        <v>44197</v>
      </c>
      <c r="P14" s="38">
        <v>44561</v>
      </c>
      <c r="Q14" s="410">
        <f t="shared" si="1"/>
        <v>0</v>
      </c>
      <c r="R14" s="410">
        <v>0.25</v>
      </c>
      <c r="S14" s="413">
        <f t="shared" si="0"/>
        <v>0.25</v>
      </c>
      <c r="T14" s="410">
        <v>0</v>
      </c>
      <c r="U14" s="111">
        <v>0</v>
      </c>
      <c r="V14" s="51" t="s">
        <v>520</v>
      </c>
      <c r="W14" s="410">
        <v>0</v>
      </c>
      <c r="X14" s="281">
        <v>0</v>
      </c>
      <c r="Y14" s="51" t="s">
        <v>520</v>
      </c>
      <c r="Z14" s="410">
        <v>0</v>
      </c>
      <c r="AA14" s="286">
        <v>0</v>
      </c>
      <c r="AB14" s="30" t="s">
        <v>521</v>
      </c>
      <c r="AC14" s="410">
        <v>0</v>
      </c>
      <c r="AD14" s="301">
        <v>0</v>
      </c>
      <c r="AE14" s="30" t="s">
        <v>521</v>
      </c>
      <c r="AF14" s="410">
        <v>0</v>
      </c>
      <c r="AG14" s="306">
        <v>0</v>
      </c>
      <c r="AH14" s="171" t="s">
        <v>521</v>
      </c>
      <c r="AI14" s="410">
        <v>0</v>
      </c>
      <c r="AJ14" s="410">
        <v>0</v>
      </c>
      <c r="AK14" s="410" t="s">
        <v>520</v>
      </c>
      <c r="AL14" s="410">
        <v>0</v>
      </c>
      <c r="AM14" s="410"/>
      <c r="AN14" s="410"/>
      <c r="AO14" s="410">
        <v>0</v>
      </c>
      <c r="AP14" s="410"/>
      <c r="AQ14" s="410"/>
      <c r="AR14" s="410">
        <v>0</v>
      </c>
      <c r="AS14" s="410"/>
      <c r="AT14" s="410"/>
      <c r="AU14" s="410">
        <v>0</v>
      </c>
      <c r="AV14" s="410"/>
      <c r="AW14" s="410"/>
      <c r="AX14" s="410">
        <v>0</v>
      </c>
      <c r="AY14" s="410"/>
      <c r="AZ14" s="410"/>
      <c r="BA14" s="173">
        <v>0.25</v>
      </c>
      <c r="BB14" s="413"/>
      <c r="BC14" s="413"/>
      <c r="BD14" s="413">
        <f t="shared" si="2"/>
        <v>0</v>
      </c>
      <c r="BE14" s="413">
        <f t="shared" si="3"/>
        <v>0</v>
      </c>
      <c r="BF14" s="48" t="str">
        <f t="shared" si="4"/>
        <v>No programación, No avance</v>
      </c>
    </row>
    <row r="15" spans="2:59" s="2" customFormat="1" ht="84" hidden="1">
      <c r="B15" s="44" t="s">
        <v>81</v>
      </c>
      <c r="C15" s="27" t="s">
        <v>525</v>
      </c>
      <c r="D15" s="646"/>
      <c r="E15" s="649"/>
      <c r="F15" s="649"/>
      <c r="G15" s="411" t="s">
        <v>526</v>
      </c>
      <c r="H15" s="411" t="s">
        <v>472</v>
      </c>
      <c r="I15" s="411">
        <v>0.2</v>
      </c>
      <c r="J15" s="411" t="s">
        <v>517</v>
      </c>
      <c r="K15" s="411" t="s">
        <v>79</v>
      </c>
      <c r="L15" s="411" t="s">
        <v>518</v>
      </c>
      <c r="M15" s="411" t="s">
        <v>527</v>
      </c>
      <c r="N15" s="411" t="s">
        <v>475</v>
      </c>
      <c r="O15" s="42">
        <v>44197</v>
      </c>
      <c r="P15" s="42">
        <v>44561</v>
      </c>
      <c r="Q15" s="411">
        <f t="shared" si="1"/>
        <v>0</v>
      </c>
      <c r="R15" s="411">
        <v>0.3</v>
      </c>
      <c r="S15" s="143">
        <f t="shared" si="0"/>
        <v>0.3</v>
      </c>
      <c r="T15" s="411">
        <v>0</v>
      </c>
      <c r="U15" s="200">
        <v>0</v>
      </c>
      <c r="V15" s="176" t="s">
        <v>520</v>
      </c>
      <c r="W15" s="411">
        <v>0</v>
      </c>
      <c r="X15" s="282">
        <v>0</v>
      </c>
      <c r="Y15" s="176" t="s">
        <v>521</v>
      </c>
      <c r="Z15" s="411">
        <v>0</v>
      </c>
      <c r="AA15" s="290">
        <v>0</v>
      </c>
      <c r="AB15" s="32" t="s">
        <v>521</v>
      </c>
      <c r="AC15" s="411">
        <v>0</v>
      </c>
      <c r="AD15" s="300">
        <v>0</v>
      </c>
      <c r="AE15" s="420" t="s">
        <v>521</v>
      </c>
      <c r="AF15" s="411">
        <v>0</v>
      </c>
      <c r="AG15" s="313">
        <v>0</v>
      </c>
      <c r="AH15" s="421" t="s">
        <v>521</v>
      </c>
      <c r="AI15" s="411">
        <v>0</v>
      </c>
      <c r="AJ15" s="411">
        <v>0</v>
      </c>
      <c r="AK15" s="411" t="s">
        <v>521</v>
      </c>
      <c r="AL15" s="411">
        <v>0</v>
      </c>
      <c r="AM15" s="411"/>
      <c r="AN15" s="411"/>
      <c r="AO15" s="411">
        <v>0</v>
      </c>
      <c r="AP15" s="411"/>
      <c r="AQ15" s="411"/>
      <c r="AR15" s="411">
        <v>0</v>
      </c>
      <c r="AS15" s="411"/>
      <c r="AT15" s="411"/>
      <c r="AU15" s="411">
        <v>0</v>
      </c>
      <c r="AV15" s="411"/>
      <c r="AW15" s="411"/>
      <c r="AX15" s="411">
        <v>0</v>
      </c>
      <c r="AY15" s="411"/>
      <c r="AZ15" s="411"/>
      <c r="BA15" s="177">
        <v>0.3</v>
      </c>
      <c r="BB15" s="143"/>
      <c r="BC15" s="143"/>
      <c r="BD15" s="413">
        <f t="shared" si="2"/>
        <v>0</v>
      </c>
      <c r="BE15" s="413">
        <f t="shared" si="3"/>
        <v>0</v>
      </c>
      <c r="BF15" s="52" t="str">
        <f t="shared" si="4"/>
        <v>No programación, No avance</v>
      </c>
    </row>
    <row r="16" spans="2:59" s="2" customFormat="1" ht="99.75" hidden="1" customHeight="1">
      <c r="B16" s="44" t="s">
        <v>83</v>
      </c>
      <c r="C16" s="27" t="s">
        <v>528</v>
      </c>
      <c r="D16" s="657" t="s">
        <v>84</v>
      </c>
      <c r="E16" s="660" t="s">
        <v>85</v>
      </c>
      <c r="F16" s="416" t="s">
        <v>529</v>
      </c>
      <c r="G16" s="69" t="s">
        <v>530</v>
      </c>
      <c r="H16" s="69" t="s">
        <v>531</v>
      </c>
      <c r="I16" s="69">
        <v>1</v>
      </c>
      <c r="J16" s="69" t="s">
        <v>532</v>
      </c>
      <c r="K16" s="69" t="s">
        <v>73</v>
      </c>
      <c r="L16" s="69" t="s">
        <v>72</v>
      </c>
      <c r="M16" s="69" t="s">
        <v>533</v>
      </c>
      <c r="N16" s="69" t="s">
        <v>534</v>
      </c>
      <c r="O16" s="70">
        <v>44197</v>
      </c>
      <c r="P16" s="70">
        <v>44561</v>
      </c>
      <c r="Q16" s="69">
        <f t="shared" si="1"/>
        <v>0.34951281774709669</v>
      </c>
      <c r="R16" s="69">
        <v>27813</v>
      </c>
      <c r="S16" s="71">
        <f t="shared" si="0"/>
        <v>12749.541617229354</v>
      </c>
      <c r="T16" s="69">
        <v>5.2817028008485242E-2</v>
      </c>
      <c r="U16" s="69">
        <v>0</v>
      </c>
      <c r="V16" s="69" t="s">
        <v>535</v>
      </c>
      <c r="W16" s="69">
        <v>0.13087405170244129</v>
      </c>
      <c r="X16" s="69">
        <v>0.10401610757559412</v>
      </c>
      <c r="Y16" s="69" t="s">
        <v>536</v>
      </c>
      <c r="Z16" s="69">
        <v>0.18645956926617049</v>
      </c>
      <c r="AA16" s="83">
        <v>4.4008197605436311E-2</v>
      </c>
      <c r="AB16" s="83" t="s">
        <v>86</v>
      </c>
      <c r="AC16" s="69">
        <v>6.9499874159565669E-2</v>
      </c>
      <c r="AD16" s="83">
        <v>7.8991838348973512E-2</v>
      </c>
      <c r="AE16" s="83" t="s">
        <v>87</v>
      </c>
      <c r="AF16" s="69">
        <v>6.274044511559343E-2</v>
      </c>
      <c r="AG16" s="236">
        <f>+(2511/1745)*'Metas Productos %'!AF16</f>
        <v>9.0281523028799493E-2</v>
      </c>
      <c r="AH16" s="156" t="s">
        <v>537</v>
      </c>
      <c r="AI16" s="69">
        <f>1091/R16</f>
        <v>3.9226261100924031E-2</v>
      </c>
      <c r="AJ16" s="69">
        <f>+(896/1091)*AI16</f>
        <v>3.2215151188293246E-2</v>
      </c>
      <c r="AK16" s="69" t="s">
        <v>538</v>
      </c>
      <c r="AL16" s="69">
        <v>1672</v>
      </c>
      <c r="AM16" s="69"/>
      <c r="AN16" s="69"/>
      <c r="AO16" s="69">
        <v>2222</v>
      </c>
      <c r="AP16" s="69"/>
      <c r="AQ16" s="69"/>
      <c r="AR16" s="69">
        <v>2313</v>
      </c>
      <c r="AS16" s="69"/>
      <c r="AT16" s="69"/>
      <c r="AU16" s="69">
        <v>2985</v>
      </c>
      <c r="AV16" s="69"/>
      <c r="AW16" s="69"/>
      <c r="AX16" s="69">
        <v>2432</v>
      </c>
      <c r="AY16" s="69"/>
      <c r="AZ16" s="69"/>
      <c r="BA16" s="69">
        <v>1125</v>
      </c>
      <c r="BB16" s="71"/>
      <c r="BC16" s="71"/>
      <c r="BD16" s="413">
        <f t="shared" si="2"/>
        <v>0.54161722935318024</v>
      </c>
      <c r="BE16" s="413">
        <f t="shared" si="3"/>
        <v>0.34951281774709669</v>
      </c>
      <c r="BF16" s="72">
        <f t="shared" si="4"/>
        <v>0.64531332979288358</v>
      </c>
      <c r="BG16" s="2">
        <f>+AVERAGE(BF16:BF43)</f>
        <v>0.62026574564266257</v>
      </c>
    </row>
    <row r="17" spans="2:59" s="2" customFormat="1" ht="48" hidden="1" customHeight="1">
      <c r="B17" s="44" t="s">
        <v>88</v>
      </c>
      <c r="C17" s="27" t="s">
        <v>539</v>
      </c>
      <c r="D17" s="658"/>
      <c r="E17" s="661"/>
      <c r="F17" s="414" t="s">
        <v>540</v>
      </c>
      <c r="G17" s="417" t="s">
        <v>541</v>
      </c>
      <c r="H17" s="417" t="s">
        <v>531</v>
      </c>
      <c r="I17" s="417">
        <v>1</v>
      </c>
      <c r="J17" s="417" t="s">
        <v>91</v>
      </c>
      <c r="K17" s="417" t="s">
        <v>73</v>
      </c>
      <c r="L17" s="417" t="s">
        <v>72</v>
      </c>
      <c r="M17" s="417" t="s">
        <v>542</v>
      </c>
      <c r="N17" s="417" t="s">
        <v>534</v>
      </c>
      <c r="O17" s="40">
        <v>44197</v>
      </c>
      <c r="P17" s="40">
        <v>44561</v>
      </c>
      <c r="Q17" s="417">
        <f t="shared" si="1"/>
        <v>0.13519999999999999</v>
      </c>
      <c r="R17" s="417">
        <v>20000</v>
      </c>
      <c r="S17" s="41">
        <f t="shared" si="0"/>
        <v>20000</v>
      </c>
      <c r="T17" s="417">
        <v>0</v>
      </c>
      <c r="U17" s="417">
        <v>0</v>
      </c>
      <c r="V17" s="417" t="s">
        <v>543</v>
      </c>
      <c r="W17" s="417">
        <v>0</v>
      </c>
      <c r="X17" s="417">
        <v>0</v>
      </c>
      <c r="Y17" s="417" t="s">
        <v>543</v>
      </c>
      <c r="Z17" s="417">
        <v>0</v>
      </c>
      <c r="AA17" s="82">
        <v>0</v>
      </c>
      <c r="AB17" s="82" t="s">
        <v>89</v>
      </c>
      <c r="AC17" s="417">
        <v>0</v>
      </c>
      <c r="AD17" s="82">
        <f>2704/R17</f>
        <v>0.13519999999999999</v>
      </c>
      <c r="AE17" s="82" t="s">
        <v>90</v>
      </c>
      <c r="AF17" s="417">
        <v>0</v>
      </c>
      <c r="AG17" s="237">
        <v>0</v>
      </c>
      <c r="AH17" s="179" t="s">
        <v>544</v>
      </c>
      <c r="AI17" s="417">
        <v>0</v>
      </c>
      <c r="AJ17" s="417">
        <v>0</v>
      </c>
      <c r="AK17" s="417" t="s">
        <v>544</v>
      </c>
      <c r="AL17" s="417">
        <v>0</v>
      </c>
      <c r="AM17" s="417"/>
      <c r="AN17" s="417"/>
      <c r="AO17" s="417">
        <v>0</v>
      </c>
      <c r="AP17" s="417"/>
      <c r="AQ17" s="417"/>
      <c r="AR17" s="417">
        <v>0</v>
      </c>
      <c r="AS17" s="417"/>
      <c r="AT17" s="417"/>
      <c r="AU17" s="417">
        <v>0</v>
      </c>
      <c r="AV17" s="417"/>
      <c r="AW17" s="417"/>
      <c r="AX17" s="417">
        <v>0</v>
      </c>
      <c r="AY17" s="417"/>
      <c r="AZ17" s="417"/>
      <c r="BA17" s="417">
        <v>20000</v>
      </c>
      <c r="BB17" s="41"/>
      <c r="BC17" s="41"/>
      <c r="BD17" s="413">
        <f t="shared" si="2"/>
        <v>0</v>
      </c>
      <c r="BE17" s="413">
        <f t="shared" si="3"/>
        <v>0.13519999999999999</v>
      </c>
      <c r="BF17" s="68">
        <f t="shared" si="4"/>
        <v>6.7599999999999997E-6</v>
      </c>
    </row>
    <row r="18" spans="2:59" s="2" customFormat="1" ht="57.75" hidden="1" customHeight="1" thickBot="1">
      <c r="B18" s="44" t="s">
        <v>92</v>
      </c>
      <c r="C18" s="27" t="s">
        <v>545</v>
      </c>
      <c r="D18" s="658"/>
      <c r="E18" s="661"/>
      <c r="F18" s="661" t="s">
        <v>546</v>
      </c>
      <c r="G18" s="414" t="s">
        <v>547</v>
      </c>
      <c r="H18" s="414" t="s">
        <v>472</v>
      </c>
      <c r="I18" s="414">
        <v>0.2</v>
      </c>
      <c r="J18" s="414" t="s">
        <v>91</v>
      </c>
      <c r="K18" s="414" t="s">
        <v>73</v>
      </c>
      <c r="L18" s="414" t="s">
        <v>72</v>
      </c>
      <c r="M18" s="414" t="s">
        <v>548</v>
      </c>
      <c r="N18" s="414" t="s">
        <v>549</v>
      </c>
      <c r="O18" s="59">
        <v>44197</v>
      </c>
      <c r="P18" s="59">
        <v>44561</v>
      </c>
      <c r="Q18" s="414">
        <f t="shared" si="1"/>
        <v>0.25</v>
      </c>
      <c r="R18" s="414">
        <v>2</v>
      </c>
      <c r="S18" s="142">
        <f t="shared" si="0"/>
        <v>0.5</v>
      </c>
      <c r="T18" s="414">
        <v>0</v>
      </c>
      <c r="U18" s="414">
        <v>0</v>
      </c>
      <c r="V18" s="414" t="s">
        <v>550</v>
      </c>
      <c r="W18" s="414">
        <v>0</v>
      </c>
      <c r="X18" s="414">
        <v>0</v>
      </c>
      <c r="Y18" s="414" t="s">
        <v>93</v>
      </c>
      <c r="Z18" s="414">
        <v>0</v>
      </c>
      <c r="AA18" s="61">
        <v>0</v>
      </c>
      <c r="AB18" s="61" t="s">
        <v>94</v>
      </c>
      <c r="AC18" s="414">
        <f>1/R18</f>
        <v>0.5</v>
      </c>
      <c r="AD18" s="61">
        <f>+(1/2)*AC18</f>
        <v>0.25</v>
      </c>
      <c r="AE18" s="61" t="s">
        <v>551</v>
      </c>
      <c r="AF18" s="414">
        <v>0</v>
      </c>
      <c r="AG18" s="214">
        <v>0</v>
      </c>
      <c r="AH18" s="180" t="s">
        <v>552</v>
      </c>
      <c r="AI18" s="414">
        <v>0</v>
      </c>
      <c r="AJ18" s="414">
        <v>0</v>
      </c>
      <c r="AK18" s="414" t="s">
        <v>553</v>
      </c>
      <c r="AL18" s="414">
        <v>0</v>
      </c>
      <c r="AM18" s="414"/>
      <c r="AN18" s="414"/>
      <c r="AO18" s="414">
        <v>0</v>
      </c>
      <c r="AP18" s="414"/>
      <c r="AQ18" s="414"/>
      <c r="AR18" s="414">
        <v>0</v>
      </c>
      <c r="AS18" s="414"/>
      <c r="AT18" s="414"/>
      <c r="AU18" s="414">
        <v>0</v>
      </c>
      <c r="AV18" s="414"/>
      <c r="AW18" s="414"/>
      <c r="AX18" s="414">
        <v>0</v>
      </c>
      <c r="AY18" s="414"/>
      <c r="AZ18" s="414"/>
      <c r="BA18" s="414">
        <v>0</v>
      </c>
      <c r="BB18" s="142"/>
      <c r="BC18" s="142"/>
      <c r="BD18" s="413">
        <f t="shared" si="2"/>
        <v>0.5</v>
      </c>
      <c r="BE18" s="413">
        <f t="shared" si="3"/>
        <v>0.25</v>
      </c>
      <c r="BF18" s="60">
        <f t="shared" si="4"/>
        <v>0.5</v>
      </c>
    </row>
    <row r="19" spans="2:59" s="2" customFormat="1" ht="34.5" hidden="1" customHeight="1">
      <c r="B19" s="44" t="s">
        <v>92</v>
      </c>
      <c r="C19" s="27" t="s">
        <v>554</v>
      </c>
      <c r="D19" s="658"/>
      <c r="E19" s="661"/>
      <c r="F19" s="661"/>
      <c r="G19" s="414" t="s">
        <v>555</v>
      </c>
      <c r="H19" s="414" t="s">
        <v>472</v>
      </c>
      <c r="I19" s="414">
        <v>0.4</v>
      </c>
      <c r="J19" s="414" t="s">
        <v>91</v>
      </c>
      <c r="K19" s="414" t="s">
        <v>73</v>
      </c>
      <c r="L19" s="414" t="s">
        <v>72</v>
      </c>
      <c r="M19" s="414" t="s">
        <v>556</v>
      </c>
      <c r="N19" s="414" t="s">
        <v>549</v>
      </c>
      <c r="O19" s="59">
        <v>44197</v>
      </c>
      <c r="P19" s="59">
        <v>44561</v>
      </c>
      <c r="Q19" s="414">
        <f t="shared" si="1"/>
        <v>1</v>
      </c>
      <c r="R19" s="414">
        <v>2</v>
      </c>
      <c r="S19" s="142">
        <f t="shared" si="0"/>
        <v>1</v>
      </c>
      <c r="T19" s="414">
        <v>0</v>
      </c>
      <c r="U19" s="414">
        <v>0</v>
      </c>
      <c r="V19" s="414"/>
      <c r="W19" s="414">
        <v>0</v>
      </c>
      <c r="X19" s="414">
        <v>0</v>
      </c>
      <c r="Y19" s="414"/>
      <c r="Z19" s="414">
        <v>0</v>
      </c>
      <c r="AA19" s="61">
        <v>0</v>
      </c>
      <c r="AB19" s="61" t="s">
        <v>557</v>
      </c>
      <c r="AC19" s="414">
        <v>0</v>
      </c>
      <c r="AD19" s="61">
        <v>0</v>
      </c>
      <c r="AE19" s="61" t="s">
        <v>558</v>
      </c>
      <c r="AF19" s="414">
        <v>0</v>
      </c>
      <c r="AG19" s="214">
        <v>0</v>
      </c>
      <c r="AH19" s="180" t="s">
        <v>559</v>
      </c>
      <c r="AI19" s="414">
        <f>2/R19</f>
        <v>1</v>
      </c>
      <c r="AJ19" s="414">
        <v>1</v>
      </c>
      <c r="AK19" s="414" t="s">
        <v>560</v>
      </c>
      <c r="AL19" s="414">
        <v>0</v>
      </c>
      <c r="AM19" s="414"/>
      <c r="AN19" s="414"/>
      <c r="AO19" s="414">
        <v>0</v>
      </c>
      <c r="AP19" s="414"/>
      <c r="AQ19" s="414"/>
      <c r="AR19" s="414">
        <v>0</v>
      </c>
      <c r="AS19" s="414"/>
      <c r="AT19" s="414"/>
      <c r="AU19" s="414">
        <v>0</v>
      </c>
      <c r="AV19" s="414"/>
      <c r="AW19" s="414"/>
      <c r="AX19" s="414">
        <v>0</v>
      </c>
      <c r="AY19" s="414"/>
      <c r="AZ19" s="414"/>
      <c r="BA19" s="414">
        <v>0</v>
      </c>
      <c r="BB19" s="142"/>
      <c r="BC19" s="142"/>
      <c r="BD19" s="413">
        <f t="shared" si="2"/>
        <v>1</v>
      </c>
      <c r="BE19" s="413">
        <f t="shared" si="3"/>
        <v>1</v>
      </c>
      <c r="BF19" s="60">
        <f t="shared" si="4"/>
        <v>1</v>
      </c>
    </row>
    <row r="20" spans="2:59" s="2" customFormat="1" ht="48" hidden="1">
      <c r="B20" s="44" t="s">
        <v>92</v>
      </c>
      <c r="C20" s="27" t="s">
        <v>554</v>
      </c>
      <c r="D20" s="658"/>
      <c r="E20" s="661"/>
      <c r="F20" s="661"/>
      <c r="G20" s="417" t="s">
        <v>561</v>
      </c>
      <c r="H20" s="417" t="s">
        <v>531</v>
      </c>
      <c r="I20" s="417">
        <v>0.4</v>
      </c>
      <c r="J20" s="417" t="s">
        <v>91</v>
      </c>
      <c r="K20" s="417" t="s">
        <v>73</v>
      </c>
      <c r="L20" s="417" t="s">
        <v>72</v>
      </c>
      <c r="M20" s="417" t="s">
        <v>562</v>
      </c>
      <c r="N20" s="417" t="s">
        <v>563</v>
      </c>
      <c r="O20" s="40">
        <v>44197</v>
      </c>
      <c r="P20" s="40">
        <v>44561</v>
      </c>
      <c r="Q20" s="417">
        <f t="shared" si="1"/>
        <v>0</v>
      </c>
      <c r="R20" s="417">
        <v>9167</v>
      </c>
      <c r="S20" s="41">
        <f t="shared" si="0"/>
        <v>9617</v>
      </c>
      <c r="T20" s="417">
        <v>0</v>
      </c>
      <c r="U20" s="417">
        <v>0</v>
      </c>
      <c r="V20" s="417"/>
      <c r="W20" s="417">
        <v>0</v>
      </c>
      <c r="X20" s="417">
        <v>0</v>
      </c>
      <c r="Y20" s="417"/>
      <c r="Z20" s="417">
        <v>0</v>
      </c>
      <c r="AA20" s="82">
        <v>0</v>
      </c>
      <c r="AB20" s="82" t="s">
        <v>557</v>
      </c>
      <c r="AC20" s="417">
        <v>0</v>
      </c>
      <c r="AD20" s="82">
        <v>0</v>
      </c>
      <c r="AE20" s="82" t="s">
        <v>557</v>
      </c>
      <c r="AF20" s="417">
        <v>0</v>
      </c>
      <c r="AG20" s="138">
        <v>0</v>
      </c>
      <c r="AH20" s="179" t="s">
        <v>557</v>
      </c>
      <c r="AI20" s="417">
        <v>0</v>
      </c>
      <c r="AJ20" s="417">
        <v>0</v>
      </c>
      <c r="AK20" s="417" t="s">
        <v>557</v>
      </c>
      <c r="AL20" s="417">
        <v>0</v>
      </c>
      <c r="AM20" s="417"/>
      <c r="AN20" s="417"/>
      <c r="AO20" s="417">
        <v>0</v>
      </c>
      <c r="AP20" s="417"/>
      <c r="AQ20" s="417"/>
      <c r="AR20" s="417">
        <v>0</v>
      </c>
      <c r="AS20" s="417"/>
      <c r="AT20" s="417"/>
      <c r="AU20" s="417">
        <v>9617</v>
      </c>
      <c r="AV20" s="417"/>
      <c r="AW20" s="417"/>
      <c r="AX20" s="417">
        <v>0</v>
      </c>
      <c r="AY20" s="417"/>
      <c r="AZ20" s="417"/>
      <c r="BA20" s="417">
        <v>0</v>
      </c>
      <c r="BB20" s="41"/>
      <c r="BC20" s="41"/>
      <c r="BD20" s="413">
        <f t="shared" si="2"/>
        <v>0</v>
      </c>
      <c r="BE20" s="413">
        <f t="shared" si="3"/>
        <v>0</v>
      </c>
      <c r="BF20" s="68" t="str">
        <f t="shared" si="4"/>
        <v>No programación, No avance</v>
      </c>
      <c r="BG20" s="47"/>
    </row>
    <row r="21" spans="2:59" s="2" customFormat="1" ht="43.5" hidden="1" customHeight="1">
      <c r="B21" s="44" t="s">
        <v>95</v>
      </c>
      <c r="C21" s="27" t="s">
        <v>564</v>
      </c>
      <c r="D21" s="658"/>
      <c r="E21" s="661" t="s">
        <v>96</v>
      </c>
      <c r="F21" s="661" t="s">
        <v>565</v>
      </c>
      <c r="G21" s="414" t="s">
        <v>566</v>
      </c>
      <c r="H21" s="414" t="s">
        <v>472</v>
      </c>
      <c r="I21" s="414">
        <v>0.4</v>
      </c>
      <c r="J21" s="414" t="s">
        <v>91</v>
      </c>
      <c r="K21" s="414" t="s">
        <v>73</v>
      </c>
      <c r="L21" s="414" t="s">
        <v>72</v>
      </c>
      <c r="M21" s="414" t="s">
        <v>567</v>
      </c>
      <c r="N21" s="414" t="s">
        <v>549</v>
      </c>
      <c r="O21" s="59">
        <v>44197</v>
      </c>
      <c r="P21" s="59">
        <v>44561</v>
      </c>
      <c r="Q21" s="414">
        <f t="shared" si="1"/>
        <v>0</v>
      </c>
      <c r="R21" s="414">
        <v>1</v>
      </c>
      <c r="S21" s="142">
        <f t="shared" si="0"/>
        <v>1</v>
      </c>
      <c r="T21" s="414">
        <v>0</v>
      </c>
      <c r="U21" s="414">
        <v>0</v>
      </c>
      <c r="V21" s="414"/>
      <c r="W21" s="414">
        <v>0</v>
      </c>
      <c r="X21" s="414">
        <v>0</v>
      </c>
      <c r="Y21" s="414" t="s">
        <v>97</v>
      </c>
      <c r="Z21" s="414">
        <v>0</v>
      </c>
      <c r="AA21" s="61">
        <v>0</v>
      </c>
      <c r="AB21" s="61" t="s">
        <v>98</v>
      </c>
      <c r="AC21" s="63">
        <v>1</v>
      </c>
      <c r="AD21" s="61">
        <v>0</v>
      </c>
      <c r="AE21" s="61" t="s">
        <v>568</v>
      </c>
      <c r="AF21" s="414">
        <v>0</v>
      </c>
      <c r="AG21" s="214">
        <v>0</v>
      </c>
      <c r="AH21" s="180" t="s">
        <v>569</v>
      </c>
      <c r="AI21" s="414">
        <v>0</v>
      </c>
      <c r="AJ21" s="414">
        <v>0</v>
      </c>
      <c r="AK21" s="414" t="s">
        <v>570</v>
      </c>
      <c r="AL21" s="414">
        <v>0</v>
      </c>
      <c r="AM21" s="414"/>
      <c r="AN21" s="414"/>
      <c r="AO21" s="414">
        <v>0</v>
      </c>
      <c r="AP21" s="414"/>
      <c r="AQ21" s="414"/>
      <c r="AR21" s="414">
        <v>0</v>
      </c>
      <c r="AS21" s="414"/>
      <c r="AT21" s="414"/>
      <c r="AU21" s="414">
        <v>0</v>
      </c>
      <c r="AV21" s="414"/>
      <c r="AW21" s="414"/>
      <c r="AX21" s="414">
        <v>0</v>
      </c>
      <c r="AY21" s="414"/>
      <c r="AZ21" s="414"/>
      <c r="BA21" s="414">
        <v>0</v>
      </c>
      <c r="BB21" s="142"/>
      <c r="BC21" s="142"/>
      <c r="BD21" s="413">
        <f t="shared" si="2"/>
        <v>1</v>
      </c>
      <c r="BE21" s="413">
        <f t="shared" si="3"/>
        <v>0</v>
      </c>
      <c r="BF21" s="60">
        <f t="shared" si="4"/>
        <v>0</v>
      </c>
    </row>
    <row r="22" spans="2:59" s="2" customFormat="1" ht="36" hidden="1" customHeight="1">
      <c r="B22" s="44" t="s">
        <v>95</v>
      </c>
      <c r="C22" s="27" t="s">
        <v>571</v>
      </c>
      <c r="D22" s="658"/>
      <c r="E22" s="661"/>
      <c r="F22" s="661"/>
      <c r="G22" s="414" t="s">
        <v>572</v>
      </c>
      <c r="H22" s="414" t="s">
        <v>472</v>
      </c>
      <c r="I22" s="414">
        <v>0.2</v>
      </c>
      <c r="J22" s="414" t="s">
        <v>91</v>
      </c>
      <c r="K22" s="414" t="s">
        <v>73</v>
      </c>
      <c r="L22" s="414" t="s">
        <v>72</v>
      </c>
      <c r="M22" s="414" t="s">
        <v>573</v>
      </c>
      <c r="N22" s="414" t="s">
        <v>549</v>
      </c>
      <c r="O22" s="59">
        <v>44197</v>
      </c>
      <c r="P22" s="59">
        <v>44561</v>
      </c>
      <c r="Q22" s="414">
        <f t="shared" si="1"/>
        <v>1</v>
      </c>
      <c r="R22" s="414">
        <v>1</v>
      </c>
      <c r="S22" s="142">
        <f t="shared" si="0"/>
        <v>1</v>
      </c>
      <c r="T22" s="414">
        <v>0</v>
      </c>
      <c r="U22" s="414">
        <v>0</v>
      </c>
      <c r="V22" s="414"/>
      <c r="W22" s="414">
        <v>0</v>
      </c>
      <c r="X22" s="414">
        <v>0</v>
      </c>
      <c r="Y22" s="414"/>
      <c r="Z22" s="414">
        <v>0</v>
      </c>
      <c r="AA22" s="61">
        <v>0</v>
      </c>
      <c r="AB22" s="61" t="s">
        <v>557</v>
      </c>
      <c r="AC22" s="414">
        <v>0</v>
      </c>
      <c r="AD22" s="61">
        <v>0</v>
      </c>
      <c r="AE22" s="61" t="s">
        <v>557</v>
      </c>
      <c r="AF22" s="414">
        <v>1</v>
      </c>
      <c r="AG22" s="214">
        <v>0</v>
      </c>
      <c r="AH22" s="180" t="s">
        <v>574</v>
      </c>
      <c r="AI22" s="414">
        <v>0</v>
      </c>
      <c r="AJ22" s="414">
        <v>1</v>
      </c>
      <c r="AK22" s="414" t="s">
        <v>575</v>
      </c>
      <c r="AL22" s="414">
        <v>0</v>
      </c>
      <c r="AM22" s="414"/>
      <c r="AN22" s="414"/>
      <c r="AO22" s="414">
        <v>0</v>
      </c>
      <c r="AP22" s="414"/>
      <c r="AQ22" s="414"/>
      <c r="AR22" s="414">
        <v>0</v>
      </c>
      <c r="AS22" s="414"/>
      <c r="AT22" s="414"/>
      <c r="AU22" s="414">
        <v>0</v>
      </c>
      <c r="AV22" s="414"/>
      <c r="AW22" s="414"/>
      <c r="AX22" s="414">
        <v>0</v>
      </c>
      <c r="AY22" s="414"/>
      <c r="AZ22" s="414"/>
      <c r="BA22" s="414">
        <v>0</v>
      </c>
      <c r="BB22" s="142"/>
      <c r="BC22" s="142"/>
      <c r="BD22" s="413">
        <f t="shared" si="2"/>
        <v>1</v>
      </c>
      <c r="BE22" s="413">
        <f t="shared" si="3"/>
        <v>1</v>
      </c>
      <c r="BF22" s="60">
        <f t="shared" si="4"/>
        <v>1</v>
      </c>
    </row>
    <row r="23" spans="2:59" s="2" customFormat="1" ht="43.5" hidden="1" customHeight="1">
      <c r="B23" s="44" t="s">
        <v>95</v>
      </c>
      <c r="C23" s="27" t="s">
        <v>576</v>
      </c>
      <c r="D23" s="658"/>
      <c r="E23" s="661"/>
      <c r="F23" s="661"/>
      <c r="G23" s="414" t="s">
        <v>577</v>
      </c>
      <c r="H23" s="414" t="s">
        <v>472</v>
      </c>
      <c r="I23" s="414">
        <v>0.4</v>
      </c>
      <c r="J23" s="414" t="s">
        <v>91</v>
      </c>
      <c r="K23" s="414" t="s">
        <v>73</v>
      </c>
      <c r="L23" s="414" t="s">
        <v>72</v>
      </c>
      <c r="M23" s="414" t="s">
        <v>562</v>
      </c>
      <c r="N23" s="414" t="s">
        <v>563</v>
      </c>
      <c r="O23" s="59">
        <v>44197</v>
      </c>
      <c r="P23" s="59">
        <v>44561</v>
      </c>
      <c r="Q23" s="414">
        <f t="shared" si="1"/>
        <v>0</v>
      </c>
      <c r="R23" s="414">
        <v>1</v>
      </c>
      <c r="S23" s="142">
        <f t="shared" si="0"/>
        <v>1</v>
      </c>
      <c r="T23" s="414">
        <v>0</v>
      </c>
      <c r="U23" s="414">
        <v>0</v>
      </c>
      <c r="V23" s="414"/>
      <c r="W23" s="414">
        <v>0</v>
      </c>
      <c r="X23" s="414">
        <v>0</v>
      </c>
      <c r="Y23" s="414"/>
      <c r="Z23" s="414">
        <v>0</v>
      </c>
      <c r="AA23" s="61">
        <v>0</v>
      </c>
      <c r="AB23" s="61" t="s">
        <v>557</v>
      </c>
      <c r="AC23" s="414">
        <v>0</v>
      </c>
      <c r="AD23" s="61">
        <v>0</v>
      </c>
      <c r="AE23" s="61" t="s">
        <v>557</v>
      </c>
      <c r="AF23" s="414">
        <v>0</v>
      </c>
      <c r="AG23" s="214">
        <v>0</v>
      </c>
      <c r="AH23" s="180" t="s">
        <v>557</v>
      </c>
      <c r="AI23" s="414">
        <v>0</v>
      </c>
      <c r="AJ23" s="414">
        <v>0</v>
      </c>
      <c r="AK23" s="414" t="s">
        <v>557</v>
      </c>
      <c r="AL23" s="414">
        <v>0</v>
      </c>
      <c r="AM23" s="414"/>
      <c r="AN23" s="414"/>
      <c r="AO23" s="414">
        <v>0</v>
      </c>
      <c r="AP23" s="414"/>
      <c r="AQ23" s="414"/>
      <c r="AR23" s="414">
        <v>1</v>
      </c>
      <c r="AS23" s="414"/>
      <c r="AT23" s="414"/>
      <c r="AU23" s="414">
        <v>0</v>
      </c>
      <c r="AV23" s="414"/>
      <c r="AW23" s="414"/>
      <c r="AX23" s="414">
        <v>0</v>
      </c>
      <c r="AY23" s="414"/>
      <c r="AZ23" s="414"/>
      <c r="BA23" s="414">
        <v>0</v>
      </c>
      <c r="BB23" s="142"/>
      <c r="BC23" s="142"/>
      <c r="BD23" s="413">
        <f t="shared" si="2"/>
        <v>0</v>
      </c>
      <c r="BE23" s="413">
        <f t="shared" si="3"/>
        <v>0</v>
      </c>
      <c r="BF23" s="60" t="str">
        <f t="shared" si="4"/>
        <v>No programación, No avance</v>
      </c>
    </row>
    <row r="24" spans="2:59" s="2" customFormat="1" ht="61.5" hidden="1" customHeight="1">
      <c r="B24" s="44" t="s">
        <v>99</v>
      </c>
      <c r="C24" s="27" t="s">
        <v>578</v>
      </c>
      <c r="D24" s="658"/>
      <c r="E24" s="661" t="s">
        <v>100</v>
      </c>
      <c r="F24" s="661" t="s">
        <v>579</v>
      </c>
      <c r="G24" s="417" t="s">
        <v>580</v>
      </c>
      <c r="H24" s="417" t="s">
        <v>472</v>
      </c>
      <c r="I24" s="417">
        <v>0.1</v>
      </c>
      <c r="J24" s="417" t="s">
        <v>101</v>
      </c>
      <c r="K24" s="417" t="s">
        <v>73</v>
      </c>
      <c r="L24" s="417" t="s">
        <v>72</v>
      </c>
      <c r="M24" s="417" t="s">
        <v>581</v>
      </c>
      <c r="N24" s="417" t="s">
        <v>582</v>
      </c>
      <c r="O24" s="40">
        <v>44197</v>
      </c>
      <c r="P24" s="40">
        <v>44561</v>
      </c>
      <c r="Q24" s="417">
        <f t="shared" si="1"/>
        <v>1</v>
      </c>
      <c r="R24" s="417">
        <v>1</v>
      </c>
      <c r="S24" s="41">
        <f t="shared" si="0"/>
        <v>1</v>
      </c>
      <c r="T24" s="417">
        <v>0</v>
      </c>
      <c r="U24" s="417">
        <v>0</v>
      </c>
      <c r="V24" s="417"/>
      <c r="W24" s="417">
        <v>0</v>
      </c>
      <c r="X24" s="417">
        <v>0</v>
      </c>
      <c r="Y24" s="417" t="s">
        <v>583</v>
      </c>
      <c r="Z24" s="417">
        <v>0</v>
      </c>
      <c r="AA24" s="82">
        <v>0</v>
      </c>
      <c r="AB24" s="82" t="s">
        <v>584</v>
      </c>
      <c r="AC24" s="417">
        <v>0</v>
      </c>
      <c r="AD24" s="82">
        <v>1</v>
      </c>
      <c r="AE24" s="82" t="s">
        <v>585</v>
      </c>
      <c r="AF24" s="417">
        <v>0</v>
      </c>
      <c r="AG24" s="138">
        <v>0</v>
      </c>
      <c r="AH24" s="179" t="s">
        <v>586</v>
      </c>
      <c r="AI24" s="417">
        <v>1</v>
      </c>
      <c r="AJ24" s="417">
        <v>0</v>
      </c>
      <c r="AK24" s="417" t="s">
        <v>586</v>
      </c>
      <c r="AL24" s="417">
        <v>0</v>
      </c>
      <c r="AM24" s="417"/>
      <c r="AN24" s="417"/>
      <c r="AO24" s="417">
        <v>0</v>
      </c>
      <c r="AP24" s="417"/>
      <c r="AQ24" s="417"/>
      <c r="AR24" s="417">
        <v>0</v>
      </c>
      <c r="AS24" s="417"/>
      <c r="AT24" s="417"/>
      <c r="AU24" s="417">
        <v>0</v>
      </c>
      <c r="AV24" s="417"/>
      <c r="AW24" s="417"/>
      <c r="AX24" s="417">
        <v>0</v>
      </c>
      <c r="AY24" s="417"/>
      <c r="AZ24" s="417"/>
      <c r="BA24" s="417">
        <v>0</v>
      </c>
      <c r="BB24" s="41"/>
      <c r="BC24" s="41"/>
      <c r="BD24" s="413">
        <f t="shared" si="2"/>
        <v>1</v>
      </c>
      <c r="BE24" s="413">
        <f t="shared" si="3"/>
        <v>1</v>
      </c>
      <c r="BF24" s="68">
        <f t="shared" si="4"/>
        <v>1</v>
      </c>
    </row>
    <row r="25" spans="2:59" s="2" customFormat="1" ht="36" hidden="1" customHeight="1">
      <c r="B25" s="44" t="s">
        <v>99</v>
      </c>
      <c r="C25" s="27" t="s">
        <v>587</v>
      </c>
      <c r="D25" s="658"/>
      <c r="E25" s="661"/>
      <c r="F25" s="661"/>
      <c r="G25" s="417" t="s">
        <v>588</v>
      </c>
      <c r="H25" s="417" t="s">
        <v>472</v>
      </c>
      <c r="I25" s="417">
        <v>0.2</v>
      </c>
      <c r="J25" s="417" t="s">
        <v>101</v>
      </c>
      <c r="K25" s="417" t="s">
        <v>73</v>
      </c>
      <c r="L25" s="417" t="s">
        <v>72</v>
      </c>
      <c r="M25" s="417" t="s">
        <v>589</v>
      </c>
      <c r="N25" s="417" t="s">
        <v>590</v>
      </c>
      <c r="O25" s="40">
        <v>44197</v>
      </c>
      <c r="P25" s="40">
        <v>44561</v>
      </c>
      <c r="Q25" s="417">
        <f t="shared" si="1"/>
        <v>1</v>
      </c>
      <c r="R25" s="417">
        <v>1</v>
      </c>
      <c r="S25" s="41">
        <f t="shared" si="0"/>
        <v>1</v>
      </c>
      <c r="T25" s="417">
        <v>0</v>
      </c>
      <c r="U25" s="417">
        <v>0</v>
      </c>
      <c r="V25" s="417"/>
      <c r="W25" s="417">
        <v>0</v>
      </c>
      <c r="X25" s="417">
        <v>0</v>
      </c>
      <c r="Y25" s="417"/>
      <c r="Z25" s="417">
        <v>0</v>
      </c>
      <c r="AA25" s="82">
        <v>0</v>
      </c>
      <c r="AB25" s="82" t="s">
        <v>557</v>
      </c>
      <c r="AC25" s="417">
        <v>0</v>
      </c>
      <c r="AD25" s="82">
        <v>0</v>
      </c>
      <c r="AE25" s="82" t="s">
        <v>591</v>
      </c>
      <c r="AF25" s="417">
        <v>0</v>
      </c>
      <c r="AG25" s="138">
        <v>1</v>
      </c>
      <c r="AH25" s="179" t="s">
        <v>592</v>
      </c>
      <c r="AI25" s="417">
        <v>1</v>
      </c>
      <c r="AJ25" s="417">
        <v>0</v>
      </c>
      <c r="AK25" s="417" t="s">
        <v>586</v>
      </c>
      <c r="AL25" s="417">
        <v>0</v>
      </c>
      <c r="AM25" s="417"/>
      <c r="AN25" s="417"/>
      <c r="AO25" s="417">
        <v>0</v>
      </c>
      <c r="AP25" s="417"/>
      <c r="AQ25" s="417"/>
      <c r="AR25" s="417">
        <v>0</v>
      </c>
      <c r="AS25" s="417"/>
      <c r="AT25" s="417"/>
      <c r="AU25" s="417">
        <v>0</v>
      </c>
      <c r="AV25" s="417"/>
      <c r="AW25" s="417"/>
      <c r="AX25" s="417">
        <v>0</v>
      </c>
      <c r="AY25" s="417"/>
      <c r="AZ25" s="417"/>
      <c r="BA25" s="417">
        <v>0</v>
      </c>
      <c r="BB25" s="41"/>
      <c r="BC25" s="41"/>
      <c r="BD25" s="413">
        <f t="shared" si="2"/>
        <v>1</v>
      </c>
      <c r="BE25" s="413">
        <f t="shared" si="3"/>
        <v>1</v>
      </c>
      <c r="BF25" s="68">
        <f t="shared" si="4"/>
        <v>1</v>
      </c>
    </row>
    <row r="26" spans="2:59" s="2" customFormat="1" ht="42.75" hidden="1" customHeight="1">
      <c r="B26" s="44" t="s">
        <v>99</v>
      </c>
      <c r="C26" s="27" t="s">
        <v>593</v>
      </c>
      <c r="D26" s="658"/>
      <c r="E26" s="661"/>
      <c r="F26" s="661"/>
      <c r="G26" s="417" t="s">
        <v>594</v>
      </c>
      <c r="H26" s="417" t="s">
        <v>531</v>
      </c>
      <c r="I26" s="417">
        <v>0.2</v>
      </c>
      <c r="J26" s="417" t="s">
        <v>101</v>
      </c>
      <c r="K26" s="417" t="s">
        <v>73</v>
      </c>
      <c r="L26" s="417" t="s">
        <v>72</v>
      </c>
      <c r="M26" s="417" t="s">
        <v>595</v>
      </c>
      <c r="N26" s="417" t="s">
        <v>590</v>
      </c>
      <c r="O26" s="40">
        <v>44197</v>
      </c>
      <c r="P26" s="40">
        <v>44561</v>
      </c>
      <c r="Q26" s="417">
        <f t="shared" si="1"/>
        <v>1</v>
      </c>
      <c r="R26" s="417">
        <v>1</v>
      </c>
      <c r="S26" s="41">
        <f t="shared" si="0"/>
        <v>1</v>
      </c>
      <c r="T26" s="417">
        <v>0</v>
      </c>
      <c r="U26" s="417">
        <v>0</v>
      </c>
      <c r="V26" s="417"/>
      <c r="W26" s="417">
        <v>0</v>
      </c>
      <c r="X26" s="417">
        <v>0</v>
      </c>
      <c r="Y26" s="417"/>
      <c r="Z26" s="417">
        <v>0</v>
      </c>
      <c r="AA26" s="82">
        <v>0</v>
      </c>
      <c r="AB26" s="82" t="s">
        <v>557</v>
      </c>
      <c r="AC26" s="417">
        <v>0</v>
      </c>
      <c r="AD26" s="82">
        <v>0</v>
      </c>
      <c r="AE26" s="82" t="s">
        <v>557</v>
      </c>
      <c r="AF26" s="417">
        <v>0</v>
      </c>
      <c r="AG26" s="138">
        <v>0</v>
      </c>
      <c r="AH26" s="179" t="s">
        <v>596</v>
      </c>
      <c r="AI26" s="417">
        <v>0</v>
      </c>
      <c r="AJ26" s="417">
        <v>1</v>
      </c>
      <c r="AK26" s="417" t="s">
        <v>597</v>
      </c>
      <c r="AL26" s="417">
        <v>0</v>
      </c>
      <c r="AM26" s="417"/>
      <c r="AN26" s="417"/>
      <c r="AO26" s="417">
        <v>0</v>
      </c>
      <c r="AP26" s="417"/>
      <c r="AQ26" s="417"/>
      <c r="AR26" s="417">
        <v>1</v>
      </c>
      <c r="AS26" s="417"/>
      <c r="AT26" s="417"/>
      <c r="AU26" s="417">
        <v>0</v>
      </c>
      <c r="AV26" s="417"/>
      <c r="AW26" s="417"/>
      <c r="AX26" s="417">
        <v>0</v>
      </c>
      <c r="AY26" s="417"/>
      <c r="AZ26" s="417"/>
      <c r="BA26" s="417">
        <v>0</v>
      </c>
      <c r="BB26" s="41"/>
      <c r="BC26" s="41"/>
      <c r="BD26" s="413">
        <f t="shared" si="2"/>
        <v>0</v>
      </c>
      <c r="BE26" s="413">
        <f t="shared" si="3"/>
        <v>1</v>
      </c>
      <c r="BF26" s="68">
        <f t="shared" si="4"/>
        <v>1</v>
      </c>
    </row>
    <row r="27" spans="2:59" s="2" customFormat="1" ht="39" hidden="1" customHeight="1">
      <c r="B27" s="44" t="s">
        <v>99</v>
      </c>
      <c r="C27" s="27" t="s">
        <v>598</v>
      </c>
      <c r="D27" s="658"/>
      <c r="E27" s="661"/>
      <c r="F27" s="661"/>
      <c r="G27" s="417" t="s">
        <v>599</v>
      </c>
      <c r="H27" s="417" t="s">
        <v>472</v>
      </c>
      <c r="I27" s="417">
        <v>0.2</v>
      </c>
      <c r="J27" s="417" t="s">
        <v>101</v>
      </c>
      <c r="K27" s="417" t="s">
        <v>73</v>
      </c>
      <c r="L27" s="417" t="s">
        <v>72</v>
      </c>
      <c r="M27" s="417" t="s">
        <v>600</v>
      </c>
      <c r="N27" s="417" t="s">
        <v>582</v>
      </c>
      <c r="O27" s="40">
        <v>44197</v>
      </c>
      <c r="P27" s="40">
        <v>44561</v>
      </c>
      <c r="Q27" s="128">
        <f>+U27+X27+AA27+AD27+AG27+AJ27+AM27+AP27+AS27+AV27+AY27+BB27</f>
        <v>1</v>
      </c>
      <c r="R27" s="128">
        <v>1</v>
      </c>
      <c r="S27" s="181">
        <f t="shared" si="0"/>
        <v>1</v>
      </c>
      <c r="T27" s="128">
        <v>0</v>
      </c>
      <c r="U27" s="128">
        <v>0</v>
      </c>
      <c r="V27" s="128" t="s">
        <v>601</v>
      </c>
      <c r="W27" s="128">
        <v>0</v>
      </c>
      <c r="X27" s="128">
        <v>0</v>
      </c>
      <c r="Y27" s="128" t="s">
        <v>602</v>
      </c>
      <c r="Z27" s="128">
        <v>0</v>
      </c>
      <c r="AA27" s="182">
        <v>1</v>
      </c>
      <c r="AB27" s="182" t="s">
        <v>603</v>
      </c>
      <c r="AC27" s="128">
        <v>0</v>
      </c>
      <c r="AD27" s="82">
        <v>0</v>
      </c>
      <c r="AE27" s="82" t="s">
        <v>604</v>
      </c>
      <c r="AF27" s="417">
        <v>0</v>
      </c>
      <c r="AG27" s="138">
        <v>0</v>
      </c>
      <c r="AH27" s="179" t="s">
        <v>604</v>
      </c>
      <c r="AI27" s="417">
        <v>0</v>
      </c>
      <c r="AJ27" s="417">
        <v>0</v>
      </c>
      <c r="AK27" s="417" t="s">
        <v>604</v>
      </c>
      <c r="AL27" s="417">
        <v>0</v>
      </c>
      <c r="AM27" s="417"/>
      <c r="AN27" s="417"/>
      <c r="AO27" s="417">
        <v>0</v>
      </c>
      <c r="AP27" s="417"/>
      <c r="AQ27" s="417"/>
      <c r="AR27" s="417">
        <v>1</v>
      </c>
      <c r="AS27" s="417"/>
      <c r="AT27" s="417"/>
      <c r="AU27" s="417">
        <v>0</v>
      </c>
      <c r="AV27" s="417"/>
      <c r="AW27" s="417"/>
      <c r="AX27" s="417">
        <v>0</v>
      </c>
      <c r="AY27" s="417"/>
      <c r="AZ27" s="417"/>
      <c r="BA27" s="417">
        <v>0</v>
      </c>
      <c r="BB27" s="41"/>
      <c r="BC27" s="41"/>
      <c r="BD27" s="413">
        <f t="shared" si="2"/>
        <v>0</v>
      </c>
      <c r="BE27" s="413">
        <f t="shared" si="3"/>
        <v>1</v>
      </c>
      <c r="BF27" s="68">
        <f t="shared" si="4"/>
        <v>1</v>
      </c>
      <c r="BG27" s="47"/>
    </row>
    <row r="28" spans="2:59" s="2" customFormat="1" ht="36" hidden="1">
      <c r="B28" s="44" t="s">
        <v>99</v>
      </c>
      <c r="C28" s="27" t="s">
        <v>605</v>
      </c>
      <c r="D28" s="658"/>
      <c r="E28" s="661"/>
      <c r="F28" s="661"/>
      <c r="G28" s="417" t="s">
        <v>606</v>
      </c>
      <c r="H28" s="417" t="s">
        <v>472</v>
      </c>
      <c r="I28" s="417">
        <v>0.1</v>
      </c>
      <c r="J28" s="417" t="s">
        <v>101</v>
      </c>
      <c r="K28" s="417" t="s">
        <v>73</v>
      </c>
      <c r="L28" s="417" t="s">
        <v>72</v>
      </c>
      <c r="M28" s="417" t="s">
        <v>589</v>
      </c>
      <c r="N28" s="417" t="s">
        <v>590</v>
      </c>
      <c r="O28" s="40">
        <v>44197</v>
      </c>
      <c r="P28" s="40">
        <v>44561</v>
      </c>
      <c r="Q28" s="128">
        <f t="shared" si="1"/>
        <v>1</v>
      </c>
      <c r="R28" s="128">
        <v>1</v>
      </c>
      <c r="S28" s="181">
        <f t="shared" si="0"/>
        <v>1</v>
      </c>
      <c r="T28" s="128">
        <v>0</v>
      </c>
      <c r="U28" s="128">
        <v>0</v>
      </c>
      <c r="V28" s="128"/>
      <c r="W28" s="128">
        <v>0</v>
      </c>
      <c r="X28" s="128">
        <v>0</v>
      </c>
      <c r="Y28" s="128">
        <v>0</v>
      </c>
      <c r="Z28" s="128">
        <v>0</v>
      </c>
      <c r="AA28" s="182">
        <v>1</v>
      </c>
      <c r="AB28" s="182" t="s">
        <v>607</v>
      </c>
      <c r="AC28" s="128">
        <v>0</v>
      </c>
      <c r="AD28" s="82">
        <v>0</v>
      </c>
      <c r="AE28" s="82" t="s">
        <v>604</v>
      </c>
      <c r="AF28" s="417">
        <v>1</v>
      </c>
      <c r="AG28" s="138">
        <v>0</v>
      </c>
      <c r="AH28" s="179" t="s">
        <v>604</v>
      </c>
      <c r="AI28" s="417">
        <v>0</v>
      </c>
      <c r="AJ28" s="417">
        <v>0</v>
      </c>
      <c r="AK28" s="417" t="s">
        <v>604</v>
      </c>
      <c r="AL28" s="417">
        <v>0</v>
      </c>
      <c r="AM28" s="417"/>
      <c r="AN28" s="417"/>
      <c r="AO28" s="417">
        <v>0</v>
      </c>
      <c r="AP28" s="417"/>
      <c r="AQ28" s="417"/>
      <c r="AR28" s="417">
        <v>0</v>
      </c>
      <c r="AS28" s="417"/>
      <c r="AT28" s="417"/>
      <c r="AU28" s="417">
        <v>0</v>
      </c>
      <c r="AV28" s="417"/>
      <c r="AW28" s="417"/>
      <c r="AX28" s="417">
        <v>0</v>
      </c>
      <c r="AY28" s="417"/>
      <c r="AZ28" s="417"/>
      <c r="BA28" s="417">
        <v>0</v>
      </c>
      <c r="BB28" s="41"/>
      <c r="BC28" s="41"/>
      <c r="BD28" s="413">
        <f t="shared" si="2"/>
        <v>1</v>
      </c>
      <c r="BE28" s="413">
        <f t="shared" si="3"/>
        <v>1</v>
      </c>
      <c r="BF28" s="68">
        <f t="shared" si="4"/>
        <v>1</v>
      </c>
      <c r="BG28" s="47"/>
    </row>
    <row r="29" spans="2:59" s="2" customFormat="1" ht="48" hidden="1">
      <c r="B29" s="44" t="s">
        <v>99</v>
      </c>
      <c r="C29" s="27" t="s">
        <v>608</v>
      </c>
      <c r="D29" s="658"/>
      <c r="E29" s="661"/>
      <c r="F29" s="661"/>
      <c r="G29" s="417" t="s">
        <v>609</v>
      </c>
      <c r="H29" s="417" t="s">
        <v>531</v>
      </c>
      <c r="I29" s="417">
        <v>0.2</v>
      </c>
      <c r="J29" s="417" t="s">
        <v>101</v>
      </c>
      <c r="K29" s="417" t="s">
        <v>73</v>
      </c>
      <c r="L29" s="417" t="s">
        <v>72</v>
      </c>
      <c r="M29" s="417" t="s">
        <v>595</v>
      </c>
      <c r="N29" s="417" t="s">
        <v>590</v>
      </c>
      <c r="O29" s="40">
        <v>44197</v>
      </c>
      <c r="P29" s="40">
        <v>44561</v>
      </c>
      <c r="Q29" s="128">
        <f t="shared" si="1"/>
        <v>1</v>
      </c>
      <c r="R29" s="128">
        <v>1</v>
      </c>
      <c r="S29" s="181">
        <f t="shared" si="0"/>
        <v>1</v>
      </c>
      <c r="T29" s="128">
        <v>0</v>
      </c>
      <c r="U29" s="128">
        <v>0</v>
      </c>
      <c r="V29" s="128"/>
      <c r="W29" s="128">
        <v>0</v>
      </c>
      <c r="X29" s="128">
        <v>0</v>
      </c>
      <c r="Y29" s="128"/>
      <c r="Z29" s="128">
        <v>0</v>
      </c>
      <c r="AA29" s="182">
        <f>1/R29</f>
        <v>1</v>
      </c>
      <c r="AB29" s="182" t="s">
        <v>610</v>
      </c>
      <c r="AC29" s="128">
        <f>+(1/1)*AA29</f>
        <v>1</v>
      </c>
      <c r="AD29" s="82">
        <v>0</v>
      </c>
      <c r="AE29" s="82" t="s">
        <v>604</v>
      </c>
      <c r="AF29" s="417">
        <v>0</v>
      </c>
      <c r="AG29" s="138">
        <v>0</v>
      </c>
      <c r="AH29" s="179" t="s">
        <v>611</v>
      </c>
      <c r="AI29" s="417">
        <v>0</v>
      </c>
      <c r="AJ29" s="417">
        <v>0</v>
      </c>
      <c r="AK29" s="417" t="s">
        <v>612</v>
      </c>
      <c r="AL29" s="417">
        <v>0</v>
      </c>
      <c r="AM29" s="417"/>
      <c r="AN29" s="417"/>
      <c r="AO29" s="417">
        <v>0</v>
      </c>
      <c r="AP29" s="417"/>
      <c r="AQ29" s="417"/>
      <c r="AR29" s="417">
        <v>0</v>
      </c>
      <c r="AS29" s="417"/>
      <c r="AT29" s="417"/>
      <c r="AU29" s="417">
        <v>0</v>
      </c>
      <c r="AV29" s="417"/>
      <c r="AW29" s="417"/>
      <c r="AX29" s="417">
        <v>0</v>
      </c>
      <c r="AY29" s="417"/>
      <c r="AZ29" s="417"/>
      <c r="BA29" s="417">
        <v>0</v>
      </c>
      <c r="BB29" s="41"/>
      <c r="BC29" s="41"/>
      <c r="BD29" s="413">
        <f t="shared" si="2"/>
        <v>1</v>
      </c>
      <c r="BE29" s="413">
        <f t="shared" si="3"/>
        <v>1</v>
      </c>
      <c r="BF29" s="68">
        <f t="shared" si="4"/>
        <v>1</v>
      </c>
      <c r="BG29" s="47"/>
    </row>
    <row r="30" spans="2:59" s="2" customFormat="1" ht="48" hidden="1" customHeight="1">
      <c r="B30" s="44" t="s">
        <v>102</v>
      </c>
      <c r="C30" s="27" t="s">
        <v>613</v>
      </c>
      <c r="D30" s="658"/>
      <c r="E30" s="661" t="s">
        <v>103</v>
      </c>
      <c r="F30" s="661" t="s">
        <v>614</v>
      </c>
      <c r="G30" s="414" t="s">
        <v>615</v>
      </c>
      <c r="H30" s="414" t="s">
        <v>472</v>
      </c>
      <c r="I30" s="414">
        <v>0.4</v>
      </c>
      <c r="J30" s="414" t="s">
        <v>104</v>
      </c>
      <c r="K30" s="414" t="s">
        <v>73</v>
      </c>
      <c r="L30" s="414" t="s">
        <v>72</v>
      </c>
      <c r="M30" s="414" t="s">
        <v>616</v>
      </c>
      <c r="N30" s="414" t="s">
        <v>617</v>
      </c>
      <c r="O30" s="59">
        <v>44197</v>
      </c>
      <c r="P30" s="59">
        <v>44561</v>
      </c>
      <c r="Q30" s="414">
        <f t="shared" si="1"/>
        <v>0</v>
      </c>
      <c r="R30" s="414">
        <v>1</v>
      </c>
      <c r="S30" s="142">
        <f t="shared" si="0"/>
        <v>0</v>
      </c>
      <c r="T30" s="414">
        <v>0</v>
      </c>
      <c r="U30" s="414">
        <v>0</v>
      </c>
      <c r="V30" s="414"/>
      <c r="W30" s="414">
        <v>0</v>
      </c>
      <c r="X30" s="414">
        <v>0</v>
      </c>
      <c r="Y30" s="414" t="s">
        <v>618</v>
      </c>
      <c r="Z30" s="414">
        <v>0</v>
      </c>
      <c r="AA30" s="61">
        <v>0</v>
      </c>
      <c r="AB30" s="61" t="s">
        <v>557</v>
      </c>
      <c r="AC30" s="414">
        <v>0</v>
      </c>
      <c r="AD30" s="61">
        <v>0</v>
      </c>
      <c r="AE30" s="61" t="s">
        <v>619</v>
      </c>
      <c r="AF30" s="414">
        <v>0</v>
      </c>
      <c r="AG30" s="214">
        <v>0</v>
      </c>
      <c r="AH30" s="180" t="s">
        <v>557</v>
      </c>
      <c r="AI30" s="414">
        <v>0</v>
      </c>
      <c r="AJ30" s="414">
        <v>0</v>
      </c>
      <c r="AK30" s="414" t="s">
        <v>619</v>
      </c>
      <c r="AL30" s="414">
        <v>0</v>
      </c>
      <c r="AM30" s="414"/>
      <c r="AN30" s="414"/>
      <c r="AO30" s="414">
        <v>0</v>
      </c>
      <c r="AP30" s="414"/>
      <c r="AQ30" s="414"/>
      <c r="AR30" s="414">
        <v>0</v>
      </c>
      <c r="AS30" s="414"/>
      <c r="AT30" s="414"/>
      <c r="AU30" s="414">
        <v>0</v>
      </c>
      <c r="AV30" s="414"/>
      <c r="AW30" s="414"/>
      <c r="AX30" s="414">
        <v>0</v>
      </c>
      <c r="AY30" s="414"/>
      <c r="AZ30" s="414"/>
      <c r="BA30" s="414">
        <v>0</v>
      </c>
      <c r="BB30" s="142"/>
      <c r="BC30" s="142"/>
      <c r="BD30" s="413">
        <f t="shared" si="2"/>
        <v>0</v>
      </c>
      <c r="BE30" s="413">
        <f t="shared" si="3"/>
        <v>0</v>
      </c>
      <c r="BF30" s="60" t="str">
        <f t="shared" si="4"/>
        <v>No programación, No avance</v>
      </c>
      <c r="BG30" s="47"/>
    </row>
    <row r="31" spans="2:59" s="2" customFormat="1" ht="36" hidden="1" customHeight="1">
      <c r="B31" s="44" t="s">
        <v>102</v>
      </c>
      <c r="C31" s="27" t="s">
        <v>620</v>
      </c>
      <c r="D31" s="658"/>
      <c r="E31" s="661"/>
      <c r="F31" s="661"/>
      <c r="G31" s="414" t="s">
        <v>621</v>
      </c>
      <c r="H31" s="414" t="s">
        <v>472</v>
      </c>
      <c r="I31" s="414">
        <v>0.3</v>
      </c>
      <c r="J31" s="414" t="s">
        <v>104</v>
      </c>
      <c r="K31" s="414" t="s">
        <v>73</v>
      </c>
      <c r="L31" s="414" t="s">
        <v>72</v>
      </c>
      <c r="M31" s="414" t="s">
        <v>622</v>
      </c>
      <c r="N31" s="414" t="s">
        <v>623</v>
      </c>
      <c r="O31" s="59">
        <v>44197</v>
      </c>
      <c r="P31" s="59">
        <v>44561</v>
      </c>
      <c r="Q31" s="414">
        <f t="shared" si="1"/>
        <v>0.68</v>
      </c>
      <c r="R31" s="414">
        <v>1</v>
      </c>
      <c r="S31" s="142">
        <f t="shared" si="0"/>
        <v>1</v>
      </c>
      <c r="T31" s="414">
        <v>0</v>
      </c>
      <c r="U31" s="414">
        <v>0</v>
      </c>
      <c r="V31" s="414"/>
      <c r="W31" s="414">
        <v>0</v>
      </c>
      <c r="X31" s="414">
        <v>0</v>
      </c>
      <c r="Y31" s="414"/>
      <c r="Z31" s="414">
        <v>0</v>
      </c>
      <c r="AA31" s="61">
        <v>0</v>
      </c>
      <c r="AB31" s="61" t="s">
        <v>624</v>
      </c>
      <c r="AC31" s="414">
        <v>0</v>
      </c>
      <c r="AD31" s="61">
        <v>0</v>
      </c>
      <c r="AE31" s="61" t="s">
        <v>625</v>
      </c>
      <c r="AF31" s="414">
        <v>1</v>
      </c>
      <c r="AG31" s="386">
        <v>0.68</v>
      </c>
      <c r="AH31" s="180" t="s">
        <v>626</v>
      </c>
      <c r="AI31" s="414">
        <v>0</v>
      </c>
      <c r="AJ31" s="414">
        <v>0</v>
      </c>
      <c r="AK31" s="414" t="s">
        <v>627</v>
      </c>
      <c r="AL31" s="414">
        <v>0</v>
      </c>
      <c r="AM31" s="414"/>
      <c r="AN31" s="414"/>
      <c r="AO31" s="414">
        <v>0</v>
      </c>
      <c r="AP31" s="414"/>
      <c r="AQ31" s="414"/>
      <c r="AR31" s="414">
        <v>0</v>
      </c>
      <c r="AS31" s="414"/>
      <c r="AT31" s="414"/>
      <c r="AU31" s="414">
        <v>0</v>
      </c>
      <c r="AV31" s="414"/>
      <c r="AW31" s="414"/>
      <c r="AX31" s="414">
        <v>0</v>
      </c>
      <c r="AY31" s="414"/>
      <c r="AZ31" s="414"/>
      <c r="BA31" s="414">
        <v>0</v>
      </c>
      <c r="BB31" s="142"/>
      <c r="BC31" s="142"/>
      <c r="BD31" s="413">
        <f t="shared" si="2"/>
        <v>1</v>
      </c>
      <c r="BE31" s="413">
        <f t="shared" si="3"/>
        <v>0.68</v>
      </c>
      <c r="BF31" s="60">
        <f t="shared" si="4"/>
        <v>0.68</v>
      </c>
    </row>
    <row r="32" spans="2:59" s="2" customFormat="1" ht="66" hidden="1" customHeight="1">
      <c r="B32" s="44" t="s">
        <v>102</v>
      </c>
      <c r="C32" s="27" t="s">
        <v>628</v>
      </c>
      <c r="D32" s="658"/>
      <c r="E32" s="661"/>
      <c r="F32" s="661"/>
      <c r="G32" s="414" t="s">
        <v>629</v>
      </c>
      <c r="H32" s="414" t="s">
        <v>472</v>
      </c>
      <c r="I32" s="414">
        <v>0.1</v>
      </c>
      <c r="J32" s="414" t="s">
        <v>104</v>
      </c>
      <c r="K32" s="414" t="s">
        <v>73</v>
      </c>
      <c r="L32" s="414" t="s">
        <v>72</v>
      </c>
      <c r="M32" s="414" t="s">
        <v>630</v>
      </c>
      <c r="N32" s="414" t="s">
        <v>617</v>
      </c>
      <c r="O32" s="59">
        <v>44197</v>
      </c>
      <c r="P32" s="59">
        <v>44561</v>
      </c>
      <c r="Q32" s="414">
        <f t="shared" si="1"/>
        <v>0.79999999999999993</v>
      </c>
      <c r="R32" s="414">
        <v>1</v>
      </c>
      <c r="S32" s="142">
        <f t="shared" si="0"/>
        <v>1</v>
      </c>
      <c r="T32" s="414">
        <v>0</v>
      </c>
      <c r="U32" s="414">
        <v>0</v>
      </c>
      <c r="V32" s="414"/>
      <c r="W32" s="414">
        <v>0</v>
      </c>
      <c r="X32" s="414">
        <v>0</v>
      </c>
      <c r="Y32" s="414"/>
      <c r="Z32" s="414">
        <v>0</v>
      </c>
      <c r="AA32" s="61">
        <v>0.23</v>
      </c>
      <c r="AB32" s="61" t="s">
        <v>631</v>
      </c>
      <c r="AC32" s="414">
        <v>0</v>
      </c>
      <c r="AD32" s="61">
        <v>0</v>
      </c>
      <c r="AE32" s="61" t="s">
        <v>632</v>
      </c>
      <c r="AF32" s="414">
        <v>0</v>
      </c>
      <c r="AG32" s="238">
        <v>0.36</v>
      </c>
      <c r="AH32" s="180" t="s">
        <v>633</v>
      </c>
      <c r="AI32" s="414">
        <v>0</v>
      </c>
      <c r="AJ32" s="414">
        <v>0.21</v>
      </c>
      <c r="AK32" s="414" t="s">
        <v>634</v>
      </c>
      <c r="AL32" s="414">
        <v>1</v>
      </c>
      <c r="AM32" s="414"/>
      <c r="AN32" s="414"/>
      <c r="AO32" s="414">
        <v>0</v>
      </c>
      <c r="AP32" s="414"/>
      <c r="AQ32" s="414"/>
      <c r="AR32" s="414">
        <v>0</v>
      </c>
      <c r="AS32" s="414"/>
      <c r="AT32" s="414"/>
      <c r="AU32" s="414">
        <v>0</v>
      </c>
      <c r="AV32" s="414"/>
      <c r="AW32" s="414"/>
      <c r="AX32" s="414">
        <v>0</v>
      </c>
      <c r="AY32" s="414"/>
      <c r="AZ32" s="414"/>
      <c r="BA32" s="414">
        <v>0</v>
      </c>
      <c r="BB32" s="142"/>
      <c r="BC32" s="142"/>
      <c r="BD32" s="413">
        <f t="shared" si="2"/>
        <v>0</v>
      </c>
      <c r="BE32" s="413">
        <f t="shared" si="3"/>
        <v>0.79999999999999993</v>
      </c>
      <c r="BF32" s="60">
        <f t="shared" si="4"/>
        <v>0.79999999999999993</v>
      </c>
    </row>
    <row r="33" spans="2:59" s="2" customFormat="1" ht="48" hidden="1">
      <c r="B33" s="44" t="s">
        <v>102</v>
      </c>
      <c r="C33" s="27" t="s">
        <v>635</v>
      </c>
      <c r="D33" s="658"/>
      <c r="E33" s="661"/>
      <c r="F33" s="661"/>
      <c r="G33" s="414" t="s">
        <v>636</v>
      </c>
      <c r="H33" s="414" t="s">
        <v>472</v>
      </c>
      <c r="I33" s="414">
        <v>0.1</v>
      </c>
      <c r="J33" s="414" t="s">
        <v>104</v>
      </c>
      <c r="K33" s="414" t="s">
        <v>73</v>
      </c>
      <c r="L33" s="414" t="s">
        <v>72</v>
      </c>
      <c r="M33" s="414" t="s">
        <v>637</v>
      </c>
      <c r="N33" s="414" t="s">
        <v>617</v>
      </c>
      <c r="O33" s="59">
        <v>44197</v>
      </c>
      <c r="P33" s="59">
        <v>44561</v>
      </c>
      <c r="Q33" s="414">
        <f t="shared" si="1"/>
        <v>0.67999999999999994</v>
      </c>
      <c r="R33" s="414">
        <v>1</v>
      </c>
      <c r="S33" s="142">
        <f t="shared" si="0"/>
        <v>1</v>
      </c>
      <c r="T33" s="414">
        <v>0</v>
      </c>
      <c r="U33" s="414">
        <v>0</v>
      </c>
      <c r="V33" s="414"/>
      <c r="W33" s="414">
        <v>0</v>
      </c>
      <c r="X33" s="414">
        <v>0</v>
      </c>
      <c r="Y33" s="414"/>
      <c r="Z33" s="414">
        <v>0</v>
      </c>
      <c r="AA33" s="61">
        <v>0.48</v>
      </c>
      <c r="AB33" s="61" t="s">
        <v>638</v>
      </c>
      <c r="AC33" s="414">
        <v>0</v>
      </c>
      <c r="AD33" s="61">
        <v>0</v>
      </c>
      <c r="AE33" s="61" t="s">
        <v>639</v>
      </c>
      <c r="AF33" s="414">
        <v>0</v>
      </c>
      <c r="AG33" s="238">
        <v>0.2</v>
      </c>
      <c r="AH33" s="180" t="s">
        <v>640</v>
      </c>
      <c r="AI33" s="414">
        <v>0</v>
      </c>
      <c r="AJ33" s="414">
        <v>0</v>
      </c>
      <c r="AK33" s="414" t="s">
        <v>641</v>
      </c>
      <c r="AL33" s="414">
        <v>1</v>
      </c>
      <c r="AM33" s="414"/>
      <c r="AN33" s="414"/>
      <c r="AO33" s="414">
        <v>0</v>
      </c>
      <c r="AP33" s="414"/>
      <c r="AQ33" s="414"/>
      <c r="AR33" s="414">
        <v>0</v>
      </c>
      <c r="AS33" s="414"/>
      <c r="AT33" s="414"/>
      <c r="AU33" s="414">
        <v>0</v>
      </c>
      <c r="AV33" s="414"/>
      <c r="AW33" s="414"/>
      <c r="AX33" s="414">
        <v>0</v>
      </c>
      <c r="AY33" s="414"/>
      <c r="AZ33" s="414"/>
      <c r="BA33" s="414">
        <v>0</v>
      </c>
      <c r="BB33" s="142"/>
      <c r="BC33" s="142"/>
      <c r="BD33" s="413">
        <f t="shared" si="2"/>
        <v>0</v>
      </c>
      <c r="BE33" s="413">
        <f t="shared" si="3"/>
        <v>0.67999999999999994</v>
      </c>
      <c r="BF33" s="60">
        <f t="shared" si="4"/>
        <v>0.67999999999999994</v>
      </c>
    </row>
    <row r="34" spans="2:59" s="2" customFormat="1" ht="36" hidden="1" customHeight="1">
      <c r="B34" s="44" t="s">
        <v>102</v>
      </c>
      <c r="C34" s="27" t="s">
        <v>642</v>
      </c>
      <c r="D34" s="658"/>
      <c r="E34" s="661"/>
      <c r="F34" s="661"/>
      <c r="G34" s="414" t="s">
        <v>643</v>
      </c>
      <c r="H34" s="414" t="s">
        <v>472</v>
      </c>
      <c r="I34" s="414">
        <v>0.1</v>
      </c>
      <c r="J34" s="414" t="s">
        <v>104</v>
      </c>
      <c r="K34" s="414" t="s">
        <v>73</v>
      </c>
      <c r="L34" s="414" t="s">
        <v>72</v>
      </c>
      <c r="M34" s="414" t="s">
        <v>643</v>
      </c>
      <c r="N34" s="414" t="s">
        <v>617</v>
      </c>
      <c r="O34" s="59">
        <v>44197</v>
      </c>
      <c r="P34" s="59">
        <v>44561</v>
      </c>
      <c r="Q34" s="414">
        <f t="shared" si="1"/>
        <v>0</v>
      </c>
      <c r="R34" s="414">
        <v>1</v>
      </c>
      <c r="S34" s="142">
        <f t="shared" si="0"/>
        <v>1</v>
      </c>
      <c r="T34" s="414">
        <v>0</v>
      </c>
      <c r="U34" s="414">
        <v>0</v>
      </c>
      <c r="V34" s="414"/>
      <c r="W34" s="414">
        <v>0</v>
      </c>
      <c r="X34" s="414">
        <v>0</v>
      </c>
      <c r="Y34" s="414"/>
      <c r="Z34" s="414">
        <v>0</v>
      </c>
      <c r="AA34" s="61">
        <v>0</v>
      </c>
      <c r="AB34" s="61" t="s">
        <v>644</v>
      </c>
      <c r="AC34" s="414">
        <v>0</v>
      </c>
      <c r="AD34" s="61">
        <v>0</v>
      </c>
      <c r="AE34" s="61" t="s">
        <v>644</v>
      </c>
      <c r="AF34" s="414">
        <v>0</v>
      </c>
      <c r="AG34" s="214">
        <v>0</v>
      </c>
      <c r="AH34" s="180" t="s">
        <v>557</v>
      </c>
      <c r="AI34" s="414">
        <v>0</v>
      </c>
      <c r="AJ34" s="414">
        <v>0</v>
      </c>
      <c r="AK34" s="414" t="s">
        <v>557</v>
      </c>
      <c r="AL34" s="414">
        <v>1</v>
      </c>
      <c r="AM34" s="414"/>
      <c r="AN34" s="414"/>
      <c r="AO34" s="414">
        <v>0</v>
      </c>
      <c r="AP34" s="414"/>
      <c r="AQ34" s="414"/>
      <c r="AR34" s="414">
        <v>0</v>
      </c>
      <c r="AS34" s="414"/>
      <c r="AT34" s="414"/>
      <c r="AU34" s="414">
        <v>0</v>
      </c>
      <c r="AV34" s="414"/>
      <c r="AW34" s="414"/>
      <c r="AX34" s="414">
        <v>0</v>
      </c>
      <c r="AY34" s="414"/>
      <c r="AZ34" s="414"/>
      <c r="BA34" s="414">
        <v>0</v>
      </c>
      <c r="BB34" s="142"/>
      <c r="BC34" s="142"/>
      <c r="BD34" s="413">
        <f t="shared" si="2"/>
        <v>0</v>
      </c>
      <c r="BE34" s="413">
        <f t="shared" si="3"/>
        <v>0</v>
      </c>
      <c r="BF34" s="60" t="str">
        <f t="shared" si="4"/>
        <v>No programación, No avance</v>
      </c>
      <c r="BG34" s="47"/>
    </row>
    <row r="35" spans="2:59" s="2" customFormat="1" ht="40.5" hidden="1" customHeight="1">
      <c r="B35" s="44" t="s">
        <v>105</v>
      </c>
      <c r="C35" s="27" t="s">
        <v>645</v>
      </c>
      <c r="D35" s="658"/>
      <c r="E35" s="661" t="s">
        <v>106</v>
      </c>
      <c r="F35" s="661" t="s">
        <v>646</v>
      </c>
      <c r="G35" s="414" t="s">
        <v>647</v>
      </c>
      <c r="H35" s="414" t="s">
        <v>472</v>
      </c>
      <c r="I35" s="414">
        <v>0.25</v>
      </c>
      <c r="J35" s="414" t="s">
        <v>648</v>
      </c>
      <c r="K35" s="414" t="s">
        <v>79</v>
      </c>
      <c r="L35" s="414" t="s">
        <v>78</v>
      </c>
      <c r="M35" s="414" t="s">
        <v>649</v>
      </c>
      <c r="N35" s="414" t="s">
        <v>650</v>
      </c>
      <c r="O35" s="59">
        <v>44197</v>
      </c>
      <c r="P35" s="59">
        <v>44561</v>
      </c>
      <c r="Q35" s="414">
        <f t="shared" si="1"/>
        <v>0.56000000000000005</v>
      </c>
      <c r="R35" s="414">
        <v>1</v>
      </c>
      <c r="S35" s="142">
        <f t="shared" si="0"/>
        <v>1</v>
      </c>
      <c r="T35" s="414">
        <v>0</v>
      </c>
      <c r="U35" s="414">
        <v>0</v>
      </c>
      <c r="V35" s="414"/>
      <c r="W35" s="414">
        <v>0</v>
      </c>
      <c r="X35" s="283">
        <v>0</v>
      </c>
      <c r="Y35" s="414" t="s">
        <v>651</v>
      </c>
      <c r="Z35" s="414">
        <v>0</v>
      </c>
      <c r="AA35" s="62">
        <v>0.08</v>
      </c>
      <c r="AB35" s="61" t="s">
        <v>652</v>
      </c>
      <c r="AC35" s="414">
        <v>0</v>
      </c>
      <c r="AD35" s="62">
        <v>0.1</v>
      </c>
      <c r="AE35" s="61" t="s">
        <v>653</v>
      </c>
      <c r="AF35" s="414">
        <v>0</v>
      </c>
      <c r="AG35" s="238">
        <v>0.22</v>
      </c>
      <c r="AH35" s="180" t="s">
        <v>654</v>
      </c>
      <c r="AI35" s="414">
        <v>0</v>
      </c>
      <c r="AJ35" s="414">
        <v>0.16</v>
      </c>
      <c r="AK35" s="414" t="s">
        <v>655</v>
      </c>
      <c r="AL35" s="63">
        <v>1</v>
      </c>
      <c r="AM35" s="414"/>
      <c r="AN35" s="414"/>
      <c r="AO35" s="414">
        <v>0</v>
      </c>
      <c r="AP35" s="414"/>
      <c r="AQ35" s="414"/>
      <c r="AR35" s="414">
        <v>0</v>
      </c>
      <c r="AS35" s="414"/>
      <c r="AT35" s="414"/>
      <c r="AU35" s="414">
        <v>0</v>
      </c>
      <c r="AV35" s="414"/>
      <c r="AW35" s="414"/>
      <c r="AX35" s="414">
        <v>0</v>
      </c>
      <c r="AY35" s="414"/>
      <c r="AZ35" s="414"/>
      <c r="BA35" s="414">
        <v>0</v>
      </c>
      <c r="BB35" s="142"/>
      <c r="BC35" s="142"/>
      <c r="BD35" s="413">
        <f t="shared" si="2"/>
        <v>0</v>
      </c>
      <c r="BE35" s="413">
        <f t="shared" si="3"/>
        <v>0.56000000000000005</v>
      </c>
      <c r="BF35" s="60">
        <f t="shared" si="4"/>
        <v>0.56000000000000005</v>
      </c>
    </row>
    <row r="36" spans="2:59" s="2" customFormat="1" ht="60" hidden="1" customHeight="1">
      <c r="B36" s="44" t="s">
        <v>105</v>
      </c>
      <c r="C36" s="27" t="s">
        <v>656</v>
      </c>
      <c r="D36" s="658"/>
      <c r="E36" s="661"/>
      <c r="F36" s="661"/>
      <c r="G36" s="414" t="s">
        <v>657</v>
      </c>
      <c r="H36" s="414" t="s">
        <v>472</v>
      </c>
      <c r="I36" s="414">
        <v>0.25</v>
      </c>
      <c r="J36" s="414" t="s">
        <v>648</v>
      </c>
      <c r="K36" s="414" t="s">
        <v>79</v>
      </c>
      <c r="L36" s="414" t="s">
        <v>78</v>
      </c>
      <c r="M36" s="414" t="s">
        <v>658</v>
      </c>
      <c r="N36" s="414" t="s">
        <v>650</v>
      </c>
      <c r="O36" s="59">
        <v>44197</v>
      </c>
      <c r="P36" s="59">
        <v>44561</v>
      </c>
      <c r="Q36" s="414">
        <f t="shared" si="1"/>
        <v>0.6100000000000001</v>
      </c>
      <c r="R36" s="414">
        <v>1</v>
      </c>
      <c r="S36" s="142">
        <f t="shared" si="0"/>
        <v>1</v>
      </c>
      <c r="T36" s="414">
        <v>0</v>
      </c>
      <c r="U36" s="414">
        <v>0</v>
      </c>
      <c r="V36" s="414"/>
      <c r="W36" s="414">
        <v>0</v>
      </c>
      <c r="X36" s="283">
        <v>0</v>
      </c>
      <c r="Y36" s="414" t="s">
        <v>659</v>
      </c>
      <c r="Z36" s="414">
        <v>0</v>
      </c>
      <c r="AA36" s="62">
        <v>0.12</v>
      </c>
      <c r="AB36" s="61" t="s">
        <v>660</v>
      </c>
      <c r="AC36" s="414">
        <v>0</v>
      </c>
      <c r="AD36" s="322">
        <v>7.0000000000000007E-2</v>
      </c>
      <c r="AE36" s="61" t="s">
        <v>661</v>
      </c>
      <c r="AF36" s="414">
        <v>0</v>
      </c>
      <c r="AG36" s="261">
        <v>0.28000000000000003</v>
      </c>
      <c r="AH36" s="180" t="s">
        <v>662</v>
      </c>
      <c r="AI36" s="414">
        <v>0</v>
      </c>
      <c r="AJ36" s="414">
        <v>0.14000000000000001</v>
      </c>
      <c r="AK36" s="414" t="s">
        <v>663</v>
      </c>
      <c r="AL36" s="414">
        <v>0</v>
      </c>
      <c r="AM36" s="414"/>
      <c r="AN36" s="414"/>
      <c r="AO36" s="414">
        <v>0</v>
      </c>
      <c r="AP36" s="414"/>
      <c r="AQ36" s="414"/>
      <c r="AR36" s="414">
        <v>0</v>
      </c>
      <c r="AS36" s="414"/>
      <c r="AT36" s="414"/>
      <c r="AU36" s="63">
        <v>0</v>
      </c>
      <c r="AV36" s="414"/>
      <c r="AW36" s="414"/>
      <c r="AX36" s="414">
        <v>0</v>
      </c>
      <c r="AY36" s="414"/>
      <c r="AZ36" s="414"/>
      <c r="BA36" s="63">
        <v>1</v>
      </c>
      <c r="BB36" s="142"/>
      <c r="BC36" s="142"/>
      <c r="BD36" s="413">
        <f t="shared" si="2"/>
        <v>0</v>
      </c>
      <c r="BE36" s="413">
        <f t="shared" si="3"/>
        <v>0.6100000000000001</v>
      </c>
      <c r="BF36" s="60">
        <f t="shared" si="4"/>
        <v>0.6100000000000001</v>
      </c>
    </row>
    <row r="37" spans="2:59" s="2" customFormat="1" ht="62.25" hidden="1" customHeight="1">
      <c r="B37" s="44" t="s">
        <v>105</v>
      </c>
      <c r="C37" s="27" t="s">
        <v>664</v>
      </c>
      <c r="D37" s="658"/>
      <c r="E37" s="661"/>
      <c r="F37" s="661"/>
      <c r="G37" s="414" t="s">
        <v>665</v>
      </c>
      <c r="H37" s="414" t="s">
        <v>472</v>
      </c>
      <c r="I37" s="414">
        <v>0.25</v>
      </c>
      <c r="J37" s="414" t="s">
        <v>648</v>
      </c>
      <c r="K37" s="414" t="s">
        <v>79</v>
      </c>
      <c r="L37" s="414" t="s">
        <v>78</v>
      </c>
      <c r="M37" s="414" t="s">
        <v>666</v>
      </c>
      <c r="N37" s="414" t="s">
        <v>650</v>
      </c>
      <c r="O37" s="59">
        <v>44197</v>
      </c>
      <c r="P37" s="59">
        <v>44561</v>
      </c>
      <c r="Q37" s="414">
        <f t="shared" si="1"/>
        <v>0.36</v>
      </c>
      <c r="R37" s="414">
        <v>1</v>
      </c>
      <c r="S37" s="142">
        <f t="shared" si="0"/>
        <v>1</v>
      </c>
      <c r="T37" s="414">
        <v>0</v>
      </c>
      <c r="U37" s="414">
        <v>0</v>
      </c>
      <c r="V37" s="414"/>
      <c r="W37" s="414">
        <v>0</v>
      </c>
      <c r="X37" s="283">
        <v>0</v>
      </c>
      <c r="Y37" s="414" t="s">
        <v>667</v>
      </c>
      <c r="Z37" s="414">
        <v>0</v>
      </c>
      <c r="AA37" s="62">
        <v>0.27</v>
      </c>
      <c r="AB37" s="61" t="s">
        <v>668</v>
      </c>
      <c r="AC37" s="414">
        <v>0</v>
      </c>
      <c r="AD37" s="62">
        <v>0.05</v>
      </c>
      <c r="AE37" s="61" t="s">
        <v>669</v>
      </c>
      <c r="AF37" s="414">
        <v>0</v>
      </c>
      <c r="AG37" s="238">
        <v>0.04</v>
      </c>
      <c r="AH37" s="180" t="s">
        <v>670</v>
      </c>
      <c r="AI37" s="414">
        <v>0</v>
      </c>
      <c r="AJ37" s="414">
        <v>0</v>
      </c>
      <c r="AK37" s="414" t="s">
        <v>671</v>
      </c>
      <c r="AL37" s="414">
        <v>0</v>
      </c>
      <c r="AM37" s="414"/>
      <c r="AN37" s="414"/>
      <c r="AO37" s="414">
        <v>0</v>
      </c>
      <c r="AP37" s="414"/>
      <c r="AQ37" s="414"/>
      <c r="AR37" s="414">
        <v>0</v>
      </c>
      <c r="AS37" s="414"/>
      <c r="AT37" s="414"/>
      <c r="AU37" s="63">
        <v>0</v>
      </c>
      <c r="AV37" s="414"/>
      <c r="AW37" s="414"/>
      <c r="AX37" s="63">
        <v>1</v>
      </c>
      <c r="AY37" s="414"/>
      <c r="AZ37" s="414"/>
      <c r="BA37" s="414">
        <v>0</v>
      </c>
      <c r="BB37" s="142"/>
      <c r="BC37" s="142"/>
      <c r="BD37" s="413">
        <f t="shared" si="2"/>
        <v>0</v>
      </c>
      <c r="BE37" s="413">
        <f t="shared" si="3"/>
        <v>0.36</v>
      </c>
      <c r="BF37" s="60">
        <f t="shared" si="4"/>
        <v>0.36</v>
      </c>
    </row>
    <row r="38" spans="2:59" s="2" customFormat="1" ht="62.25" hidden="1" customHeight="1">
      <c r="B38" s="43" t="s">
        <v>105</v>
      </c>
      <c r="C38" s="100" t="s">
        <v>672</v>
      </c>
      <c r="D38" s="658"/>
      <c r="E38" s="661"/>
      <c r="F38" s="661"/>
      <c r="G38" s="414" t="s">
        <v>673</v>
      </c>
      <c r="H38" s="414" t="s">
        <v>472</v>
      </c>
      <c r="I38" s="414">
        <v>0.25</v>
      </c>
      <c r="J38" s="414" t="s">
        <v>648</v>
      </c>
      <c r="K38" s="414" t="s">
        <v>79</v>
      </c>
      <c r="L38" s="414" t="s">
        <v>78</v>
      </c>
      <c r="M38" s="414" t="s">
        <v>674</v>
      </c>
      <c r="N38" s="414" t="s">
        <v>650</v>
      </c>
      <c r="O38" s="59">
        <v>44197</v>
      </c>
      <c r="P38" s="59">
        <v>44561</v>
      </c>
      <c r="Q38" s="414">
        <f t="shared" si="1"/>
        <v>0.19</v>
      </c>
      <c r="R38" s="414">
        <v>1</v>
      </c>
      <c r="S38" s="142">
        <f t="shared" si="0"/>
        <v>1</v>
      </c>
      <c r="T38" s="414">
        <v>0</v>
      </c>
      <c r="U38" s="414">
        <v>0</v>
      </c>
      <c r="V38" s="414"/>
      <c r="W38" s="414">
        <v>0</v>
      </c>
      <c r="X38" s="283">
        <v>0</v>
      </c>
      <c r="Y38" s="414" t="s">
        <v>675</v>
      </c>
      <c r="Z38" s="414">
        <v>0</v>
      </c>
      <c r="AA38" s="62">
        <v>0.09</v>
      </c>
      <c r="AB38" s="323" t="s">
        <v>676</v>
      </c>
      <c r="AC38" s="414">
        <v>0</v>
      </c>
      <c r="AD38" s="62">
        <v>0.04</v>
      </c>
      <c r="AE38" s="61" t="s">
        <v>677</v>
      </c>
      <c r="AF38" s="414">
        <v>0</v>
      </c>
      <c r="AG38" s="238">
        <v>0.06</v>
      </c>
      <c r="AH38" s="180" t="s">
        <v>678</v>
      </c>
      <c r="AI38" s="414">
        <v>0</v>
      </c>
      <c r="AJ38" s="414">
        <v>0</v>
      </c>
      <c r="AK38" s="414" t="s">
        <v>679</v>
      </c>
      <c r="AL38" s="414">
        <v>0</v>
      </c>
      <c r="AM38" s="414"/>
      <c r="AN38" s="414"/>
      <c r="AO38" s="414">
        <v>0</v>
      </c>
      <c r="AP38" s="414"/>
      <c r="AQ38" s="414"/>
      <c r="AR38" s="414">
        <v>0</v>
      </c>
      <c r="AS38" s="414"/>
      <c r="AT38" s="414"/>
      <c r="AU38" s="63">
        <v>0</v>
      </c>
      <c r="AV38" s="414"/>
      <c r="AW38" s="414"/>
      <c r="AX38" s="414">
        <v>0</v>
      </c>
      <c r="AY38" s="414"/>
      <c r="AZ38" s="414"/>
      <c r="BA38" s="63">
        <v>1</v>
      </c>
      <c r="BB38" s="142"/>
      <c r="BC38" s="142"/>
      <c r="BD38" s="413">
        <f t="shared" si="2"/>
        <v>0</v>
      </c>
      <c r="BE38" s="413">
        <f t="shared" si="3"/>
        <v>0.19</v>
      </c>
      <c r="BF38" s="60">
        <f t="shared" si="4"/>
        <v>0.19</v>
      </c>
    </row>
    <row r="39" spans="2:59" s="2" customFormat="1" ht="41.25" hidden="1" customHeight="1">
      <c r="B39" s="99" t="s">
        <v>83</v>
      </c>
      <c r="C39" s="102" t="s">
        <v>680</v>
      </c>
      <c r="D39" s="658"/>
      <c r="E39" s="414" t="s">
        <v>85</v>
      </c>
      <c r="F39" s="414" t="s">
        <v>681</v>
      </c>
      <c r="G39" s="414" t="s">
        <v>682</v>
      </c>
      <c r="H39" s="414" t="s">
        <v>683</v>
      </c>
      <c r="I39" s="414">
        <v>1</v>
      </c>
      <c r="J39" s="414" t="s">
        <v>91</v>
      </c>
      <c r="K39" s="414" t="s">
        <v>73</v>
      </c>
      <c r="L39" s="414" t="s">
        <v>72</v>
      </c>
      <c r="M39" s="414" t="s">
        <v>562</v>
      </c>
      <c r="N39" s="414" t="s">
        <v>549</v>
      </c>
      <c r="O39" s="59">
        <v>44197</v>
      </c>
      <c r="P39" s="59">
        <v>44561</v>
      </c>
      <c r="Q39" s="414">
        <f>AA39</f>
        <v>0.31928508384819065</v>
      </c>
      <c r="R39" s="118">
        <v>4532</v>
      </c>
      <c r="S39" s="183">
        <f t="shared" si="0"/>
        <v>4532</v>
      </c>
      <c r="T39" s="118">
        <v>0</v>
      </c>
      <c r="U39" s="118">
        <v>0</v>
      </c>
      <c r="V39" s="118"/>
      <c r="W39" s="118">
        <v>0</v>
      </c>
      <c r="X39" s="118">
        <v>0</v>
      </c>
      <c r="Y39" s="118"/>
      <c r="Z39" s="118">
        <v>0</v>
      </c>
      <c r="AA39" s="372">
        <f>1447/R39</f>
        <v>0.31928508384819065</v>
      </c>
      <c r="AB39" s="324" t="s">
        <v>684</v>
      </c>
      <c r="AC39" s="118">
        <v>0</v>
      </c>
      <c r="AD39" s="373">
        <f>1606/R39</f>
        <v>0.35436893203883496</v>
      </c>
      <c r="AE39" s="318" t="s">
        <v>685</v>
      </c>
      <c r="AF39" s="118">
        <v>0</v>
      </c>
      <c r="AG39" s="214">
        <f>1330/R39</f>
        <v>0.29346866725507503</v>
      </c>
      <c r="AH39" s="180" t="s">
        <v>686</v>
      </c>
      <c r="AI39" s="118">
        <v>0</v>
      </c>
      <c r="AJ39" s="387">
        <f>801/R39</f>
        <v>0.1767431597528685</v>
      </c>
      <c r="AK39" s="118" t="s">
        <v>687</v>
      </c>
      <c r="AL39" s="118">
        <v>0</v>
      </c>
      <c r="AM39" s="118"/>
      <c r="AN39" s="118"/>
      <c r="AO39" s="118">
        <v>0</v>
      </c>
      <c r="AP39" s="118"/>
      <c r="AQ39" s="118"/>
      <c r="AR39" s="118">
        <v>0</v>
      </c>
      <c r="AS39" s="118"/>
      <c r="AT39" s="118"/>
      <c r="AU39" s="118">
        <v>0</v>
      </c>
      <c r="AV39" s="118"/>
      <c r="AW39" s="118"/>
      <c r="AX39" s="118">
        <v>0</v>
      </c>
      <c r="AY39" s="118"/>
      <c r="AZ39" s="118"/>
      <c r="BA39" s="118">
        <v>4532</v>
      </c>
      <c r="BB39" s="142"/>
      <c r="BC39" s="142"/>
      <c r="BD39" s="413">
        <f t="shared" si="2"/>
        <v>0</v>
      </c>
      <c r="BE39" s="388">
        <f>+U39+X39+AA39+AD39+AG39+AJ39</f>
        <v>1.1438658428949693</v>
      </c>
      <c r="BF39" s="60">
        <f t="shared" si="4"/>
        <v>2.5239758228044333E-4</v>
      </c>
    </row>
    <row r="40" spans="2:59" s="2" customFormat="1" ht="62.25" hidden="1" customHeight="1">
      <c r="B40" s="99" t="s">
        <v>99</v>
      </c>
      <c r="C40" s="102" t="s">
        <v>688</v>
      </c>
      <c r="D40" s="658"/>
      <c r="E40" s="414" t="s">
        <v>100</v>
      </c>
      <c r="F40" s="414" t="s">
        <v>579</v>
      </c>
      <c r="G40" s="414" t="s">
        <v>689</v>
      </c>
      <c r="H40" s="414" t="s">
        <v>690</v>
      </c>
      <c r="I40" s="414">
        <v>1</v>
      </c>
      <c r="J40" s="414" t="s">
        <v>101</v>
      </c>
      <c r="K40" s="414" t="s">
        <v>73</v>
      </c>
      <c r="L40" s="414" t="s">
        <v>72</v>
      </c>
      <c r="M40" s="414" t="s">
        <v>691</v>
      </c>
      <c r="N40" s="414" t="s">
        <v>549</v>
      </c>
      <c r="O40" s="59">
        <v>44197</v>
      </c>
      <c r="P40" s="59">
        <v>44561</v>
      </c>
      <c r="Q40" s="414">
        <f t="shared" ref="Q40:Q43" si="5">AA40</f>
        <v>0</v>
      </c>
      <c r="R40" s="414">
        <v>1</v>
      </c>
      <c r="S40" s="142">
        <f t="shared" si="0"/>
        <v>0.01</v>
      </c>
      <c r="T40" s="414">
        <v>0</v>
      </c>
      <c r="U40" s="414">
        <v>0</v>
      </c>
      <c r="V40" s="414"/>
      <c r="W40" s="414">
        <v>0</v>
      </c>
      <c r="X40" s="414">
        <v>0</v>
      </c>
      <c r="Y40" s="414"/>
      <c r="Z40" s="414">
        <v>0</v>
      </c>
      <c r="AA40" s="62">
        <v>0</v>
      </c>
      <c r="AB40" s="323"/>
      <c r="AC40" s="414">
        <v>0</v>
      </c>
      <c r="AD40" s="318">
        <v>0</v>
      </c>
      <c r="AE40" s="318" t="s">
        <v>692</v>
      </c>
      <c r="AF40" s="414">
        <v>0</v>
      </c>
      <c r="AG40" s="214">
        <v>0</v>
      </c>
      <c r="AH40" s="180" t="s">
        <v>693</v>
      </c>
      <c r="AI40" s="414">
        <v>0</v>
      </c>
      <c r="AJ40" s="414">
        <v>0</v>
      </c>
      <c r="AK40" s="414" t="s">
        <v>692</v>
      </c>
      <c r="AL40" s="414">
        <v>0</v>
      </c>
      <c r="AM40" s="414"/>
      <c r="AN40" s="414"/>
      <c r="AO40" s="414">
        <v>0</v>
      </c>
      <c r="AP40" s="414"/>
      <c r="AQ40" s="414"/>
      <c r="AR40" s="414">
        <v>0</v>
      </c>
      <c r="AS40" s="414"/>
      <c r="AT40" s="414"/>
      <c r="AU40" s="63">
        <v>0</v>
      </c>
      <c r="AV40" s="414"/>
      <c r="AW40" s="414"/>
      <c r="AX40" s="414">
        <v>0</v>
      </c>
      <c r="AY40" s="414"/>
      <c r="AZ40" s="414"/>
      <c r="BA40" s="63">
        <v>0.01</v>
      </c>
      <c r="BB40" s="142"/>
      <c r="BC40" s="142"/>
      <c r="BD40" s="413">
        <f t="shared" si="2"/>
        <v>0</v>
      </c>
      <c r="BE40" s="413">
        <f t="shared" si="3"/>
        <v>0</v>
      </c>
      <c r="BF40" s="60" t="str">
        <f t="shared" si="4"/>
        <v>No programación, No avance</v>
      </c>
    </row>
    <row r="41" spans="2:59" s="2" customFormat="1" ht="62.25" hidden="1" customHeight="1">
      <c r="B41" s="99" t="s">
        <v>83</v>
      </c>
      <c r="C41" s="102" t="s">
        <v>694</v>
      </c>
      <c r="D41" s="658"/>
      <c r="E41" s="414" t="s">
        <v>85</v>
      </c>
      <c r="F41" s="414" t="s">
        <v>681</v>
      </c>
      <c r="G41" s="414" t="s">
        <v>695</v>
      </c>
      <c r="H41" s="414" t="s">
        <v>690</v>
      </c>
      <c r="I41" s="414">
        <v>1</v>
      </c>
      <c r="J41" s="414" t="s">
        <v>91</v>
      </c>
      <c r="K41" s="414" t="s">
        <v>73</v>
      </c>
      <c r="L41" s="414" t="s">
        <v>72</v>
      </c>
      <c r="M41" s="414" t="s">
        <v>562</v>
      </c>
      <c r="N41" s="414" t="s">
        <v>549</v>
      </c>
      <c r="O41" s="59">
        <v>44197</v>
      </c>
      <c r="P41" s="59">
        <v>44561</v>
      </c>
      <c r="Q41" s="414">
        <f t="shared" si="5"/>
        <v>0</v>
      </c>
      <c r="R41" s="414">
        <v>11470</v>
      </c>
      <c r="S41" s="142">
        <f t="shared" si="0"/>
        <v>11470</v>
      </c>
      <c r="T41" s="414">
        <v>0</v>
      </c>
      <c r="U41" s="414">
        <v>0</v>
      </c>
      <c r="V41" s="414"/>
      <c r="W41" s="414">
        <v>0</v>
      </c>
      <c r="X41" s="414">
        <v>0</v>
      </c>
      <c r="Y41" s="414"/>
      <c r="Z41" s="414">
        <v>0</v>
      </c>
      <c r="AA41" s="62">
        <v>0</v>
      </c>
      <c r="AB41" s="323"/>
      <c r="AC41" s="414">
        <v>0</v>
      </c>
      <c r="AD41" s="318">
        <f>395/R41</f>
        <v>3.4437663469921533E-2</v>
      </c>
      <c r="AE41" s="318" t="s">
        <v>696</v>
      </c>
      <c r="AF41" s="414">
        <v>0</v>
      </c>
      <c r="AG41" s="214">
        <f>345/R41</f>
        <v>3.007846556233653E-2</v>
      </c>
      <c r="AH41" s="180" t="s">
        <v>697</v>
      </c>
      <c r="AI41" s="414">
        <v>0</v>
      </c>
      <c r="AJ41" s="414">
        <f>335/R41</f>
        <v>2.920662598081953E-2</v>
      </c>
      <c r="AK41" s="414" t="s">
        <v>698</v>
      </c>
      <c r="AL41" s="414">
        <v>0</v>
      </c>
      <c r="AM41" s="414"/>
      <c r="AN41" s="414"/>
      <c r="AO41" s="414">
        <v>0</v>
      </c>
      <c r="AP41" s="414"/>
      <c r="AQ41" s="414"/>
      <c r="AR41" s="414">
        <v>0</v>
      </c>
      <c r="AS41" s="414"/>
      <c r="AT41" s="414"/>
      <c r="AU41" s="63">
        <v>0</v>
      </c>
      <c r="AV41" s="414"/>
      <c r="AW41" s="414"/>
      <c r="AX41" s="414">
        <v>0</v>
      </c>
      <c r="AY41" s="414"/>
      <c r="AZ41" s="414"/>
      <c r="BA41" s="414">
        <v>11470</v>
      </c>
      <c r="BB41" s="142"/>
      <c r="BC41" s="142"/>
      <c r="BD41" s="413">
        <f t="shared" si="2"/>
        <v>0</v>
      </c>
      <c r="BE41" s="413">
        <f t="shared" si="3"/>
        <v>9.3722755013077585E-2</v>
      </c>
      <c r="BF41" s="60">
        <f t="shared" si="4"/>
        <v>8.1711207509221958E-6</v>
      </c>
    </row>
    <row r="42" spans="2:59" s="2" customFormat="1" ht="62.25" hidden="1" customHeight="1">
      <c r="B42" s="99" t="s">
        <v>107</v>
      </c>
      <c r="C42" s="102" t="s">
        <v>699</v>
      </c>
      <c r="D42" s="658"/>
      <c r="E42" s="661" t="s">
        <v>108</v>
      </c>
      <c r="F42" s="661" t="s">
        <v>109</v>
      </c>
      <c r="G42" s="414" t="s">
        <v>700</v>
      </c>
      <c r="H42" s="414" t="s">
        <v>690</v>
      </c>
      <c r="I42" s="414">
        <v>1</v>
      </c>
      <c r="J42" s="414" t="s">
        <v>91</v>
      </c>
      <c r="K42" s="414" t="s">
        <v>79</v>
      </c>
      <c r="L42" s="414" t="s">
        <v>78</v>
      </c>
      <c r="M42" s="414" t="s">
        <v>701</v>
      </c>
      <c r="N42" s="414" t="s">
        <v>549</v>
      </c>
      <c r="O42" s="59">
        <v>44197</v>
      </c>
      <c r="P42" s="59">
        <v>44561</v>
      </c>
      <c r="Q42" s="414">
        <f t="shared" si="5"/>
        <v>0</v>
      </c>
      <c r="R42" s="73">
        <v>0.28170000000000001</v>
      </c>
      <c r="S42" s="142">
        <f t="shared" si="0"/>
        <v>0.28170000000000001</v>
      </c>
      <c r="T42" s="414">
        <v>0</v>
      </c>
      <c r="U42" s="414">
        <v>0</v>
      </c>
      <c r="V42" s="414"/>
      <c r="W42" s="414">
        <v>0</v>
      </c>
      <c r="X42" s="283">
        <v>0</v>
      </c>
      <c r="Y42" s="414"/>
      <c r="Z42" s="414">
        <v>0</v>
      </c>
      <c r="AA42" s="62">
        <v>0</v>
      </c>
      <c r="AB42" s="323"/>
      <c r="AC42" s="414">
        <v>0</v>
      </c>
      <c r="AD42" s="316">
        <v>0</v>
      </c>
      <c r="AE42" s="318" t="s">
        <v>702</v>
      </c>
      <c r="AF42" s="414">
        <v>0</v>
      </c>
      <c r="AG42" s="304">
        <v>0</v>
      </c>
      <c r="AH42" s="180" t="s">
        <v>703</v>
      </c>
      <c r="AI42" s="414">
        <v>0</v>
      </c>
      <c r="AJ42" s="414">
        <v>0</v>
      </c>
      <c r="AK42" s="414" t="s">
        <v>703</v>
      </c>
      <c r="AL42" s="414">
        <v>0</v>
      </c>
      <c r="AM42" s="414"/>
      <c r="AN42" s="414"/>
      <c r="AO42" s="414">
        <v>0</v>
      </c>
      <c r="AP42" s="414"/>
      <c r="AQ42" s="414"/>
      <c r="AR42" s="414">
        <v>0</v>
      </c>
      <c r="AS42" s="414"/>
      <c r="AT42" s="414"/>
      <c r="AU42" s="63">
        <v>0</v>
      </c>
      <c r="AV42" s="414"/>
      <c r="AW42" s="414"/>
      <c r="AX42" s="414">
        <v>0</v>
      </c>
      <c r="AY42" s="414"/>
      <c r="AZ42" s="414"/>
      <c r="BA42" s="73">
        <v>0.28170000000000001</v>
      </c>
      <c r="BB42" s="142"/>
      <c r="BC42" s="142"/>
      <c r="BD42" s="413">
        <f t="shared" si="2"/>
        <v>0</v>
      </c>
      <c r="BE42" s="413">
        <f t="shared" si="3"/>
        <v>0</v>
      </c>
      <c r="BF42" s="60" t="str">
        <f t="shared" si="4"/>
        <v>No programación, No avance</v>
      </c>
      <c r="BG42" s="47"/>
    </row>
    <row r="43" spans="2:59" s="2" customFormat="1" ht="62.25" hidden="1" customHeight="1">
      <c r="B43" s="99" t="s">
        <v>107</v>
      </c>
      <c r="C43" s="102" t="s">
        <v>704</v>
      </c>
      <c r="D43" s="659"/>
      <c r="E43" s="662"/>
      <c r="F43" s="662"/>
      <c r="G43" s="415" t="s">
        <v>705</v>
      </c>
      <c r="H43" s="415" t="s">
        <v>690</v>
      </c>
      <c r="I43" s="415">
        <v>1</v>
      </c>
      <c r="J43" s="415" t="s">
        <v>91</v>
      </c>
      <c r="K43" s="415" t="s">
        <v>79</v>
      </c>
      <c r="L43" s="415" t="s">
        <v>78</v>
      </c>
      <c r="M43" s="415" t="s">
        <v>701</v>
      </c>
      <c r="N43" s="415" t="s">
        <v>549</v>
      </c>
      <c r="O43" s="64">
        <v>44197</v>
      </c>
      <c r="P43" s="64">
        <v>44561</v>
      </c>
      <c r="Q43" s="415">
        <f t="shared" si="5"/>
        <v>0</v>
      </c>
      <c r="R43" s="184">
        <v>0.37090000000000001</v>
      </c>
      <c r="S43" s="66">
        <f t="shared" si="0"/>
        <v>0.37090000000000001</v>
      </c>
      <c r="T43" s="415">
        <v>0</v>
      </c>
      <c r="U43" s="415">
        <v>0</v>
      </c>
      <c r="V43" s="415"/>
      <c r="W43" s="415">
        <v>0</v>
      </c>
      <c r="X43" s="284">
        <v>0</v>
      </c>
      <c r="Y43" s="415"/>
      <c r="Z43" s="415">
        <v>0</v>
      </c>
      <c r="AA43" s="127">
        <v>0</v>
      </c>
      <c r="AB43" s="325"/>
      <c r="AC43" s="415">
        <v>0</v>
      </c>
      <c r="AD43" s="317">
        <v>0</v>
      </c>
      <c r="AE43" s="326" t="s">
        <v>706</v>
      </c>
      <c r="AF43" s="415">
        <v>0</v>
      </c>
      <c r="AG43" s="305">
        <v>0</v>
      </c>
      <c r="AH43" s="129" t="s">
        <v>703</v>
      </c>
      <c r="AI43" s="415">
        <v>0</v>
      </c>
      <c r="AJ43" s="415">
        <v>0</v>
      </c>
      <c r="AK43" s="415" t="s">
        <v>703</v>
      </c>
      <c r="AL43" s="415">
        <v>0</v>
      </c>
      <c r="AM43" s="415"/>
      <c r="AN43" s="415"/>
      <c r="AO43" s="415">
        <v>0</v>
      </c>
      <c r="AP43" s="415"/>
      <c r="AQ43" s="415"/>
      <c r="AR43" s="415">
        <v>0</v>
      </c>
      <c r="AS43" s="415"/>
      <c r="AT43" s="415"/>
      <c r="AU43" s="65">
        <v>0</v>
      </c>
      <c r="AV43" s="415"/>
      <c r="AW43" s="415"/>
      <c r="AX43" s="415">
        <v>0</v>
      </c>
      <c r="AY43" s="415"/>
      <c r="AZ43" s="415"/>
      <c r="BA43" s="184">
        <v>0.37090000000000001</v>
      </c>
      <c r="BB43" s="66"/>
      <c r="BC43" s="66"/>
      <c r="BD43" s="413">
        <f t="shared" si="2"/>
        <v>0</v>
      </c>
      <c r="BE43" s="413">
        <f t="shared" si="3"/>
        <v>0</v>
      </c>
      <c r="BF43" s="67" t="str">
        <f t="shared" si="4"/>
        <v>No programación, No avance</v>
      </c>
      <c r="BG43" s="47"/>
    </row>
    <row r="44" spans="2:59" s="2" customFormat="1" ht="60.75" hidden="1" customHeight="1">
      <c r="B44" s="7" t="s">
        <v>110</v>
      </c>
      <c r="C44" s="101" t="s">
        <v>707</v>
      </c>
      <c r="D44" s="668" t="s">
        <v>15</v>
      </c>
      <c r="E44" s="647" t="s">
        <v>112</v>
      </c>
      <c r="F44" s="647" t="s">
        <v>708</v>
      </c>
      <c r="G44" s="69" t="s">
        <v>709</v>
      </c>
      <c r="H44" s="69" t="s">
        <v>531</v>
      </c>
      <c r="I44" s="69">
        <v>0.15</v>
      </c>
      <c r="J44" s="69" t="s">
        <v>710</v>
      </c>
      <c r="K44" s="69" t="s">
        <v>73</v>
      </c>
      <c r="L44" s="69" t="s">
        <v>711</v>
      </c>
      <c r="M44" s="69" t="s">
        <v>712</v>
      </c>
      <c r="N44" s="69" t="s">
        <v>713</v>
      </c>
      <c r="O44" s="70">
        <v>44197</v>
      </c>
      <c r="P44" s="70">
        <v>44561</v>
      </c>
      <c r="Q44" s="69">
        <f t="shared" si="1"/>
        <v>0.5</v>
      </c>
      <c r="R44" s="69">
        <v>4</v>
      </c>
      <c r="S44" s="71">
        <f t="shared" si="0"/>
        <v>1</v>
      </c>
      <c r="T44" s="69">
        <v>0</v>
      </c>
      <c r="U44" s="69">
        <v>0</v>
      </c>
      <c r="V44" s="69" t="s">
        <v>113</v>
      </c>
      <c r="W44" s="69">
        <v>1</v>
      </c>
      <c r="X44" s="69">
        <v>0</v>
      </c>
      <c r="Y44" s="69" t="s">
        <v>714</v>
      </c>
      <c r="Z44" s="69">
        <v>0</v>
      </c>
      <c r="AA44" s="83">
        <f>1/R44</f>
        <v>0.25</v>
      </c>
      <c r="AB44" s="83" t="s">
        <v>115</v>
      </c>
      <c r="AC44" s="69">
        <v>0</v>
      </c>
      <c r="AD44" s="327">
        <v>0</v>
      </c>
      <c r="AE44" s="327" t="s">
        <v>715</v>
      </c>
      <c r="AF44" s="69">
        <v>0</v>
      </c>
      <c r="AG44" s="240">
        <f>1/R44</f>
        <v>0.25</v>
      </c>
      <c r="AH44" s="165" t="s">
        <v>716</v>
      </c>
      <c r="AI44" s="69">
        <v>0</v>
      </c>
      <c r="AJ44" s="69">
        <v>0</v>
      </c>
      <c r="AK44" s="69" t="s">
        <v>716</v>
      </c>
      <c r="AL44" s="69">
        <v>0</v>
      </c>
      <c r="AM44" s="69"/>
      <c r="AN44" s="69"/>
      <c r="AO44" s="69">
        <v>0</v>
      </c>
      <c r="AP44" s="69"/>
      <c r="AQ44" s="69"/>
      <c r="AR44" s="69">
        <v>0</v>
      </c>
      <c r="AS44" s="69"/>
      <c r="AT44" s="69"/>
      <c r="AU44" s="69">
        <v>0</v>
      </c>
      <c r="AV44" s="69"/>
      <c r="AW44" s="69"/>
      <c r="AX44" s="69">
        <v>0</v>
      </c>
      <c r="AY44" s="69"/>
      <c r="AZ44" s="69"/>
      <c r="BA44" s="69">
        <v>0</v>
      </c>
      <c r="BB44" s="71"/>
      <c r="BC44" s="71"/>
      <c r="BD44" s="413">
        <f t="shared" si="2"/>
        <v>1</v>
      </c>
      <c r="BE44" s="413">
        <f t="shared" si="3"/>
        <v>0.5</v>
      </c>
      <c r="BF44" s="72">
        <f t="shared" si="4"/>
        <v>0.5</v>
      </c>
      <c r="BG44" s="2">
        <f>+AVERAGE(BF44:BF101)</f>
        <v>0.87089547038327542</v>
      </c>
    </row>
    <row r="45" spans="2:59" s="2" customFormat="1" ht="60.75" hidden="1" customHeight="1">
      <c r="B45" s="44" t="s">
        <v>110</v>
      </c>
      <c r="C45" s="27" t="s">
        <v>717</v>
      </c>
      <c r="D45" s="669"/>
      <c r="E45" s="648"/>
      <c r="F45" s="648"/>
      <c r="G45" s="417" t="s">
        <v>718</v>
      </c>
      <c r="H45" s="417" t="s">
        <v>531</v>
      </c>
      <c r="I45" s="417">
        <v>0.1</v>
      </c>
      <c r="J45" s="417" t="s">
        <v>710</v>
      </c>
      <c r="K45" s="417" t="s">
        <v>73</v>
      </c>
      <c r="L45" s="417" t="s">
        <v>711</v>
      </c>
      <c r="M45" s="417" t="s">
        <v>712</v>
      </c>
      <c r="N45" s="417" t="s">
        <v>713</v>
      </c>
      <c r="O45" s="40">
        <v>44197</v>
      </c>
      <c r="P45" s="40">
        <v>44561</v>
      </c>
      <c r="Q45" s="417">
        <f t="shared" si="1"/>
        <v>1</v>
      </c>
      <c r="R45" s="417">
        <v>4</v>
      </c>
      <c r="S45" s="41">
        <f t="shared" si="0"/>
        <v>1</v>
      </c>
      <c r="T45" s="417">
        <v>0</v>
      </c>
      <c r="U45" s="417">
        <v>0</v>
      </c>
      <c r="V45" s="417" t="s">
        <v>113</v>
      </c>
      <c r="W45" s="417">
        <v>0</v>
      </c>
      <c r="X45" s="417">
        <v>0</v>
      </c>
      <c r="Y45" s="417" t="s">
        <v>719</v>
      </c>
      <c r="Z45" s="417">
        <f>4/R45</f>
        <v>1</v>
      </c>
      <c r="AA45" s="82">
        <v>0</v>
      </c>
      <c r="AB45" s="82" t="s">
        <v>720</v>
      </c>
      <c r="AC45" s="417">
        <v>0</v>
      </c>
      <c r="AD45" s="328">
        <v>0</v>
      </c>
      <c r="AE45" s="328" t="s">
        <v>721</v>
      </c>
      <c r="AF45" s="417">
        <v>0</v>
      </c>
      <c r="AG45" s="138">
        <v>1</v>
      </c>
      <c r="AH45" s="157" t="s">
        <v>722</v>
      </c>
      <c r="AI45" s="417">
        <v>0</v>
      </c>
      <c r="AJ45" s="417">
        <v>0</v>
      </c>
      <c r="AK45" s="417" t="s">
        <v>723</v>
      </c>
      <c r="AL45" s="417">
        <v>0</v>
      </c>
      <c r="AM45" s="417"/>
      <c r="AN45" s="417"/>
      <c r="AO45" s="417">
        <v>0</v>
      </c>
      <c r="AP45" s="417"/>
      <c r="AQ45" s="417"/>
      <c r="AR45" s="417">
        <v>0</v>
      </c>
      <c r="AS45" s="417"/>
      <c r="AT45" s="417"/>
      <c r="AU45" s="417">
        <v>0</v>
      </c>
      <c r="AV45" s="417"/>
      <c r="AW45" s="417"/>
      <c r="AX45" s="417">
        <v>0</v>
      </c>
      <c r="AY45" s="417"/>
      <c r="AZ45" s="417"/>
      <c r="BA45" s="417">
        <v>0</v>
      </c>
      <c r="BB45" s="41"/>
      <c r="BC45" s="41"/>
      <c r="BD45" s="413">
        <f t="shared" si="2"/>
        <v>1</v>
      </c>
      <c r="BE45" s="413">
        <f t="shared" si="3"/>
        <v>1</v>
      </c>
      <c r="BF45" s="68">
        <f t="shared" si="4"/>
        <v>1</v>
      </c>
    </row>
    <row r="46" spans="2:59" s="2" customFormat="1" ht="60.75" hidden="1" customHeight="1">
      <c r="B46" s="44" t="s">
        <v>110</v>
      </c>
      <c r="C46" s="27" t="s">
        <v>724</v>
      </c>
      <c r="D46" s="669"/>
      <c r="E46" s="648"/>
      <c r="F46" s="648"/>
      <c r="G46" s="417" t="s">
        <v>725</v>
      </c>
      <c r="H46" s="417" t="s">
        <v>531</v>
      </c>
      <c r="I46" s="417">
        <v>0.15</v>
      </c>
      <c r="J46" s="417" t="s">
        <v>710</v>
      </c>
      <c r="K46" s="417" t="s">
        <v>73</v>
      </c>
      <c r="L46" s="417" t="s">
        <v>711</v>
      </c>
      <c r="M46" s="417" t="s">
        <v>726</v>
      </c>
      <c r="N46" s="417" t="s">
        <v>713</v>
      </c>
      <c r="O46" s="40">
        <v>44197</v>
      </c>
      <c r="P46" s="40">
        <v>44561</v>
      </c>
      <c r="Q46" s="417">
        <f t="shared" si="1"/>
        <v>1</v>
      </c>
      <c r="R46" s="417">
        <v>4</v>
      </c>
      <c r="S46" s="41">
        <f t="shared" si="0"/>
        <v>1</v>
      </c>
      <c r="T46" s="417">
        <v>0</v>
      </c>
      <c r="U46" s="417">
        <v>0</v>
      </c>
      <c r="V46" s="417" t="s">
        <v>113</v>
      </c>
      <c r="W46" s="417">
        <v>0</v>
      </c>
      <c r="X46" s="417">
        <v>0</v>
      </c>
      <c r="Y46" s="417" t="s">
        <v>114</v>
      </c>
      <c r="Z46" s="417">
        <v>0</v>
      </c>
      <c r="AA46" s="82">
        <v>0</v>
      </c>
      <c r="AB46" s="82" t="s">
        <v>727</v>
      </c>
      <c r="AC46" s="417">
        <f>4/R46</f>
        <v>1</v>
      </c>
      <c r="AD46" s="328">
        <v>1</v>
      </c>
      <c r="AE46" s="328" t="s">
        <v>728</v>
      </c>
      <c r="AF46" s="417">
        <v>0</v>
      </c>
      <c r="AG46" s="138">
        <v>0</v>
      </c>
      <c r="AH46" s="157" t="s">
        <v>728</v>
      </c>
      <c r="AI46" s="417">
        <v>0</v>
      </c>
      <c r="AJ46" s="417">
        <v>0</v>
      </c>
      <c r="AK46" s="417" t="s">
        <v>729</v>
      </c>
      <c r="AL46" s="417">
        <v>0</v>
      </c>
      <c r="AM46" s="417"/>
      <c r="AN46" s="417"/>
      <c r="AO46" s="417">
        <v>0</v>
      </c>
      <c r="AP46" s="417"/>
      <c r="AQ46" s="417"/>
      <c r="AR46" s="417">
        <v>0</v>
      </c>
      <c r="AS46" s="417"/>
      <c r="AT46" s="417"/>
      <c r="AU46" s="417">
        <v>0</v>
      </c>
      <c r="AV46" s="417"/>
      <c r="AW46" s="417"/>
      <c r="AX46" s="417">
        <v>0</v>
      </c>
      <c r="AY46" s="417"/>
      <c r="AZ46" s="417"/>
      <c r="BA46" s="417">
        <v>0</v>
      </c>
      <c r="BB46" s="41"/>
      <c r="BC46" s="41"/>
      <c r="BD46" s="413">
        <f t="shared" si="2"/>
        <v>1</v>
      </c>
      <c r="BE46" s="413">
        <f t="shared" si="3"/>
        <v>1</v>
      </c>
      <c r="BF46" s="68">
        <f t="shared" si="4"/>
        <v>1</v>
      </c>
    </row>
    <row r="47" spans="2:59" s="2" customFormat="1" ht="60.75" hidden="1" customHeight="1">
      <c r="B47" s="44" t="s">
        <v>110</v>
      </c>
      <c r="C47" s="27" t="s">
        <v>730</v>
      </c>
      <c r="D47" s="669"/>
      <c r="E47" s="648"/>
      <c r="F47" s="648"/>
      <c r="G47" s="417" t="s">
        <v>731</v>
      </c>
      <c r="H47" s="417" t="s">
        <v>472</v>
      </c>
      <c r="I47" s="417">
        <v>7.0000000000000007E-2</v>
      </c>
      <c r="J47" s="417" t="s">
        <v>710</v>
      </c>
      <c r="K47" s="417" t="s">
        <v>79</v>
      </c>
      <c r="L47" s="417" t="s">
        <v>78</v>
      </c>
      <c r="M47" s="417" t="s">
        <v>726</v>
      </c>
      <c r="N47" s="417" t="s">
        <v>713</v>
      </c>
      <c r="O47" s="40">
        <v>44197</v>
      </c>
      <c r="P47" s="40">
        <v>44561</v>
      </c>
      <c r="Q47" s="417">
        <f t="shared" si="1"/>
        <v>1</v>
      </c>
      <c r="R47" s="417">
        <v>1</v>
      </c>
      <c r="S47" s="41">
        <f t="shared" si="0"/>
        <v>1</v>
      </c>
      <c r="T47" s="417">
        <v>0</v>
      </c>
      <c r="U47" s="417">
        <v>0</v>
      </c>
      <c r="V47" s="417" t="s">
        <v>113</v>
      </c>
      <c r="W47" s="417">
        <v>0</v>
      </c>
      <c r="X47" s="285">
        <v>0.1</v>
      </c>
      <c r="Y47" s="417" t="s">
        <v>732</v>
      </c>
      <c r="Z47" s="417">
        <v>0.25</v>
      </c>
      <c r="AA47" s="130">
        <v>0.25</v>
      </c>
      <c r="AB47" s="82" t="s">
        <v>733</v>
      </c>
      <c r="AC47" s="417">
        <v>0.25</v>
      </c>
      <c r="AD47" s="329">
        <v>0.25</v>
      </c>
      <c r="AE47" s="328" t="s">
        <v>734</v>
      </c>
      <c r="AF47" s="417">
        <v>0.5</v>
      </c>
      <c r="AG47" s="422">
        <v>0.4</v>
      </c>
      <c r="AH47" s="157" t="s">
        <v>735</v>
      </c>
      <c r="AI47" s="417">
        <v>0</v>
      </c>
      <c r="AJ47" s="417">
        <v>0</v>
      </c>
      <c r="AK47" s="417" t="s">
        <v>604</v>
      </c>
      <c r="AL47" s="417">
        <v>0</v>
      </c>
      <c r="AM47" s="417"/>
      <c r="AN47" s="417"/>
      <c r="AO47" s="417">
        <v>0</v>
      </c>
      <c r="AP47" s="417"/>
      <c r="AQ47" s="417"/>
      <c r="AR47" s="417">
        <v>0</v>
      </c>
      <c r="AS47" s="417"/>
      <c r="AT47" s="417"/>
      <c r="AU47" s="417">
        <v>0</v>
      </c>
      <c r="AV47" s="417"/>
      <c r="AW47" s="417"/>
      <c r="AX47" s="417">
        <v>0</v>
      </c>
      <c r="AY47" s="417"/>
      <c r="AZ47" s="417"/>
      <c r="BA47" s="417">
        <v>0</v>
      </c>
      <c r="BB47" s="41"/>
      <c r="BC47" s="41"/>
      <c r="BD47" s="413">
        <f t="shared" si="2"/>
        <v>1</v>
      </c>
      <c r="BE47" s="413">
        <f t="shared" si="3"/>
        <v>1</v>
      </c>
      <c r="BF47" s="68">
        <f t="shared" si="4"/>
        <v>1</v>
      </c>
    </row>
    <row r="48" spans="2:59" s="2" customFormat="1" ht="60.75" hidden="1" customHeight="1">
      <c r="B48" s="44" t="s">
        <v>110</v>
      </c>
      <c r="C48" s="27" t="s">
        <v>736</v>
      </c>
      <c r="D48" s="669"/>
      <c r="E48" s="648"/>
      <c r="F48" s="648"/>
      <c r="G48" s="417" t="s">
        <v>737</v>
      </c>
      <c r="H48" s="417" t="s">
        <v>472</v>
      </c>
      <c r="I48" s="417">
        <v>0.05</v>
      </c>
      <c r="J48" s="417" t="s">
        <v>710</v>
      </c>
      <c r="K48" s="417" t="s">
        <v>73</v>
      </c>
      <c r="L48" s="417" t="s">
        <v>711</v>
      </c>
      <c r="M48" s="417" t="s">
        <v>726</v>
      </c>
      <c r="N48" s="417" t="s">
        <v>713</v>
      </c>
      <c r="O48" s="40">
        <v>44197</v>
      </c>
      <c r="P48" s="40">
        <v>44561</v>
      </c>
      <c r="Q48" s="417">
        <f t="shared" si="1"/>
        <v>0</v>
      </c>
      <c r="R48" s="417">
        <v>50</v>
      </c>
      <c r="S48" s="41">
        <f t="shared" si="0"/>
        <v>30.4</v>
      </c>
      <c r="T48" s="417">
        <v>0</v>
      </c>
      <c r="U48" s="417">
        <v>0</v>
      </c>
      <c r="V48" s="417" t="s">
        <v>113</v>
      </c>
      <c r="W48" s="417">
        <v>0</v>
      </c>
      <c r="X48" s="417">
        <v>0</v>
      </c>
      <c r="Y48" s="417" t="s">
        <v>738</v>
      </c>
      <c r="Z48" s="417">
        <v>0</v>
      </c>
      <c r="AA48" s="82">
        <v>0</v>
      </c>
      <c r="AB48" s="82" t="s">
        <v>739</v>
      </c>
      <c r="AC48" s="417">
        <v>0</v>
      </c>
      <c r="AD48" s="328">
        <v>0</v>
      </c>
      <c r="AE48" s="328" t="s">
        <v>740</v>
      </c>
      <c r="AF48" s="417">
        <f>10/R48</f>
        <v>0.2</v>
      </c>
      <c r="AG48" s="138">
        <v>0</v>
      </c>
      <c r="AH48" s="157" t="s">
        <v>741</v>
      </c>
      <c r="AI48" s="417">
        <f>10/R48</f>
        <v>0.2</v>
      </c>
      <c r="AJ48" s="417">
        <v>0</v>
      </c>
      <c r="AK48" s="417" t="s">
        <v>742</v>
      </c>
      <c r="AL48" s="417">
        <v>10</v>
      </c>
      <c r="AM48" s="417"/>
      <c r="AN48" s="417"/>
      <c r="AO48" s="417">
        <v>10</v>
      </c>
      <c r="AP48" s="417"/>
      <c r="AQ48" s="417"/>
      <c r="AR48" s="417">
        <v>10</v>
      </c>
      <c r="AS48" s="417"/>
      <c r="AT48" s="417"/>
      <c r="AU48" s="417">
        <v>0</v>
      </c>
      <c r="AV48" s="417"/>
      <c r="AW48" s="417"/>
      <c r="AX48" s="417">
        <v>0</v>
      </c>
      <c r="AY48" s="417"/>
      <c r="AZ48" s="417"/>
      <c r="BA48" s="417">
        <v>0</v>
      </c>
      <c r="BB48" s="41"/>
      <c r="BC48" s="41"/>
      <c r="BD48" s="413">
        <f t="shared" si="2"/>
        <v>0.4</v>
      </c>
      <c r="BE48" s="413">
        <f t="shared" si="3"/>
        <v>0</v>
      </c>
      <c r="BF48" s="68">
        <f t="shared" si="4"/>
        <v>0</v>
      </c>
    </row>
    <row r="49" spans="2:59" s="2" customFormat="1" ht="60.75" hidden="1" customHeight="1">
      <c r="B49" s="44" t="s">
        <v>110</v>
      </c>
      <c r="C49" s="27" t="s">
        <v>743</v>
      </c>
      <c r="D49" s="669"/>
      <c r="E49" s="648"/>
      <c r="F49" s="648"/>
      <c r="G49" s="417" t="s">
        <v>744</v>
      </c>
      <c r="H49" s="417" t="s">
        <v>472</v>
      </c>
      <c r="I49" s="417">
        <v>7.0000000000000007E-2</v>
      </c>
      <c r="J49" s="417" t="s">
        <v>710</v>
      </c>
      <c r="K49" s="417" t="s">
        <v>73</v>
      </c>
      <c r="L49" s="417" t="s">
        <v>711</v>
      </c>
      <c r="M49" s="417" t="s">
        <v>726</v>
      </c>
      <c r="N49" s="417" t="s">
        <v>713</v>
      </c>
      <c r="O49" s="40">
        <v>44197</v>
      </c>
      <c r="P49" s="40">
        <v>44561</v>
      </c>
      <c r="Q49" s="417">
        <f t="shared" si="1"/>
        <v>0</v>
      </c>
      <c r="R49" s="417">
        <v>1</v>
      </c>
      <c r="S49" s="41">
        <f t="shared" si="0"/>
        <v>1</v>
      </c>
      <c r="T49" s="417">
        <v>0</v>
      </c>
      <c r="U49" s="417">
        <v>0</v>
      </c>
      <c r="V49" s="417" t="s">
        <v>113</v>
      </c>
      <c r="W49" s="417">
        <v>0</v>
      </c>
      <c r="X49" s="417">
        <v>0</v>
      </c>
      <c r="Y49" s="417" t="s">
        <v>745</v>
      </c>
      <c r="Z49" s="417">
        <v>0</v>
      </c>
      <c r="AA49" s="82">
        <v>0</v>
      </c>
      <c r="AB49" s="82" t="s">
        <v>746</v>
      </c>
      <c r="AC49" s="417">
        <v>0</v>
      </c>
      <c r="AD49" s="328">
        <v>0</v>
      </c>
      <c r="AE49" s="328" t="s">
        <v>747</v>
      </c>
      <c r="AF49" s="417">
        <v>0</v>
      </c>
      <c r="AG49" s="138">
        <v>0</v>
      </c>
      <c r="AH49" s="157" t="s">
        <v>748</v>
      </c>
      <c r="AI49" s="417">
        <v>0</v>
      </c>
      <c r="AJ49" s="417">
        <v>0</v>
      </c>
      <c r="AK49" s="417" t="s">
        <v>749</v>
      </c>
      <c r="AL49" s="417">
        <v>0</v>
      </c>
      <c r="AM49" s="417"/>
      <c r="AN49" s="417"/>
      <c r="AO49" s="417">
        <v>0</v>
      </c>
      <c r="AP49" s="417"/>
      <c r="AQ49" s="417"/>
      <c r="AR49" s="417">
        <v>0</v>
      </c>
      <c r="AS49" s="417"/>
      <c r="AT49" s="417"/>
      <c r="AU49" s="417">
        <v>1</v>
      </c>
      <c r="AV49" s="417"/>
      <c r="AW49" s="417"/>
      <c r="AX49" s="417">
        <v>0</v>
      </c>
      <c r="AY49" s="417"/>
      <c r="AZ49" s="417"/>
      <c r="BA49" s="417">
        <v>0</v>
      </c>
      <c r="BB49" s="41"/>
      <c r="BC49" s="41"/>
      <c r="BD49" s="413">
        <f t="shared" si="2"/>
        <v>0</v>
      </c>
      <c r="BE49" s="413">
        <f t="shared" si="3"/>
        <v>0</v>
      </c>
      <c r="BF49" s="68" t="str">
        <f t="shared" si="4"/>
        <v>No programación, No avance</v>
      </c>
    </row>
    <row r="50" spans="2:59" s="2" customFormat="1" ht="60.75" hidden="1" customHeight="1">
      <c r="B50" s="44" t="s">
        <v>110</v>
      </c>
      <c r="C50" s="27" t="s">
        <v>750</v>
      </c>
      <c r="D50" s="669"/>
      <c r="E50" s="648"/>
      <c r="F50" s="648"/>
      <c r="G50" s="417" t="s">
        <v>751</v>
      </c>
      <c r="H50" s="417" t="s">
        <v>472</v>
      </c>
      <c r="I50" s="417">
        <v>0.09</v>
      </c>
      <c r="J50" s="417" t="s">
        <v>752</v>
      </c>
      <c r="K50" s="417" t="s">
        <v>79</v>
      </c>
      <c r="L50" s="417" t="s">
        <v>78</v>
      </c>
      <c r="M50" s="417" t="s">
        <v>712</v>
      </c>
      <c r="N50" s="417" t="s">
        <v>753</v>
      </c>
      <c r="O50" s="40">
        <v>44197</v>
      </c>
      <c r="P50" s="40">
        <v>44561</v>
      </c>
      <c r="Q50" s="417">
        <f t="shared" si="1"/>
        <v>1</v>
      </c>
      <c r="R50" s="417">
        <v>1</v>
      </c>
      <c r="S50" s="41">
        <f t="shared" si="0"/>
        <v>0.5</v>
      </c>
      <c r="T50" s="417">
        <v>0</v>
      </c>
      <c r="U50" s="417">
        <v>0</v>
      </c>
      <c r="V50" s="417" t="s">
        <v>754</v>
      </c>
      <c r="W50" s="417">
        <v>0</v>
      </c>
      <c r="X50" s="285">
        <v>0.5</v>
      </c>
      <c r="Y50" s="417" t="s">
        <v>755</v>
      </c>
      <c r="Z50" s="417">
        <v>0</v>
      </c>
      <c r="AA50" s="295">
        <v>0.5</v>
      </c>
      <c r="AB50" s="82" t="s">
        <v>756</v>
      </c>
      <c r="AC50" s="81">
        <v>0.5</v>
      </c>
      <c r="AD50" s="329">
        <v>0</v>
      </c>
      <c r="AE50" s="328" t="s">
        <v>757</v>
      </c>
      <c r="AF50" s="417">
        <v>0</v>
      </c>
      <c r="AG50" s="422">
        <v>0</v>
      </c>
      <c r="AH50" s="157" t="s">
        <v>143</v>
      </c>
      <c r="AI50" s="417">
        <v>0</v>
      </c>
      <c r="AJ50" s="417">
        <v>0</v>
      </c>
      <c r="AK50" s="417" t="s">
        <v>604</v>
      </c>
      <c r="AL50" s="417">
        <v>0</v>
      </c>
      <c r="AM50" s="417"/>
      <c r="AN50" s="417"/>
      <c r="AO50" s="417">
        <v>0</v>
      </c>
      <c r="AP50" s="417"/>
      <c r="AQ50" s="417"/>
      <c r="AR50" s="417">
        <v>0</v>
      </c>
      <c r="AS50" s="417"/>
      <c r="AT50" s="417"/>
      <c r="AU50" s="417">
        <v>0</v>
      </c>
      <c r="AV50" s="417"/>
      <c r="AW50" s="417"/>
      <c r="AX50" s="417">
        <v>0</v>
      </c>
      <c r="AY50" s="417"/>
      <c r="AZ50" s="417"/>
      <c r="BA50" s="417">
        <v>0</v>
      </c>
      <c r="BB50" s="41"/>
      <c r="BC50" s="41"/>
      <c r="BD50" s="413">
        <f t="shared" si="2"/>
        <v>0.5</v>
      </c>
      <c r="BE50" s="413">
        <f t="shared" si="3"/>
        <v>1</v>
      </c>
      <c r="BF50" s="68">
        <f t="shared" si="4"/>
        <v>2</v>
      </c>
      <c r="BG50" s="47"/>
    </row>
    <row r="51" spans="2:59" s="2" customFormat="1" ht="60.75" hidden="1" customHeight="1">
      <c r="B51" s="44" t="s">
        <v>110</v>
      </c>
      <c r="C51" s="27" t="s">
        <v>758</v>
      </c>
      <c r="D51" s="669"/>
      <c r="E51" s="648"/>
      <c r="F51" s="648"/>
      <c r="G51" s="417" t="s">
        <v>759</v>
      </c>
      <c r="H51" s="417" t="s">
        <v>472</v>
      </c>
      <c r="I51" s="417">
        <v>0.1</v>
      </c>
      <c r="J51" s="417" t="s">
        <v>752</v>
      </c>
      <c r="K51" s="417" t="s">
        <v>73</v>
      </c>
      <c r="L51" s="417" t="s">
        <v>711</v>
      </c>
      <c r="M51" s="417" t="s">
        <v>712</v>
      </c>
      <c r="N51" s="417" t="s">
        <v>753</v>
      </c>
      <c r="O51" s="40">
        <v>44197</v>
      </c>
      <c r="P51" s="40">
        <v>44561</v>
      </c>
      <c r="Q51" s="417">
        <f t="shared" si="1"/>
        <v>0</v>
      </c>
      <c r="R51" s="417">
        <v>8</v>
      </c>
      <c r="S51" s="41">
        <f t="shared" si="0"/>
        <v>7.125</v>
      </c>
      <c r="T51" s="417">
        <v>0</v>
      </c>
      <c r="U51" s="417">
        <v>0</v>
      </c>
      <c r="V51" s="417" t="s">
        <v>113</v>
      </c>
      <c r="W51" s="417">
        <v>0</v>
      </c>
      <c r="X51" s="417">
        <v>0</v>
      </c>
      <c r="Y51" s="417" t="s">
        <v>760</v>
      </c>
      <c r="Z51" s="417">
        <v>0</v>
      </c>
      <c r="AA51" s="82">
        <v>0</v>
      </c>
      <c r="AB51" s="82" t="s">
        <v>761</v>
      </c>
      <c r="AC51" s="417">
        <f>1/R51</f>
        <v>0.125</v>
      </c>
      <c r="AD51" s="328">
        <v>0</v>
      </c>
      <c r="AE51" s="328" t="s">
        <v>762</v>
      </c>
      <c r="AF51" s="417">
        <v>0</v>
      </c>
      <c r="AG51" s="138">
        <v>0</v>
      </c>
      <c r="AH51" s="157" t="s">
        <v>763</v>
      </c>
      <c r="AI51" s="417">
        <v>0</v>
      </c>
      <c r="AJ51" s="417">
        <v>0</v>
      </c>
      <c r="AK51" s="417" t="s">
        <v>764</v>
      </c>
      <c r="AL51" s="417">
        <v>0</v>
      </c>
      <c r="AM51" s="417"/>
      <c r="AN51" s="417"/>
      <c r="AO51" s="417">
        <v>0</v>
      </c>
      <c r="AP51" s="417"/>
      <c r="AQ51" s="417"/>
      <c r="AR51" s="417">
        <v>0</v>
      </c>
      <c r="AS51" s="417"/>
      <c r="AT51" s="417"/>
      <c r="AU51" s="417">
        <v>0</v>
      </c>
      <c r="AV51" s="417"/>
      <c r="AW51" s="417"/>
      <c r="AX51" s="417">
        <v>0</v>
      </c>
      <c r="AY51" s="417"/>
      <c r="AZ51" s="417"/>
      <c r="BA51" s="417">
        <v>7</v>
      </c>
      <c r="BB51" s="41"/>
      <c r="BC51" s="41"/>
      <c r="BD51" s="413">
        <f t="shared" si="2"/>
        <v>0.125</v>
      </c>
      <c r="BE51" s="413">
        <f t="shared" si="3"/>
        <v>0</v>
      </c>
      <c r="BF51" s="68">
        <f t="shared" si="4"/>
        <v>0</v>
      </c>
    </row>
    <row r="52" spans="2:59" s="2" customFormat="1" ht="60.75" hidden="1" customHeight="1">
      <c r="B52" s="44" t="s">
        <v>110</v>
      </c>
      <c r="C52" s="27" t="s">
        <v>765</v>
      </c>
      <c r="D52" s="669"/>
      <c r="E52" s="648"/>
      <c r="F52" s="648"/>
      <c r="G52" s="417" t="s">
        <v>766</v>
      </c>
      <c r="H52" s="417" t="s">
        <v>531</v>
      </c>
      <c r="I52" s="417">
        <v>0.1</v>
      </c>
      <c r="J52" s="417" t="s">
        <v>710</v>
      </c>
      <c r="K52" s="417" t="s">
        <v>79</v>
      </c>
      <c r="L52" s="417" t="s">
        <v>78</v>
      </c>
      <c r="M52" s="417" t="s">
        <v>726</v>
      </c>
      <c r="N52" s="417" t="s">
        <v>713</v>
      </c>
      <c r="O52" s="40">
        <v>44197</v>
      </c>
      <c r="P52" s="40">
        <v>44561</v>
      </c>
      <c r="Q52" s="417">
        <f t="shared" si="1"/>
        <v>0.15</v>
      </c>
      <c r="R52" s="417">
        <v>1</v>
      </c>
      <c r="S52" s="41">
        <f t="shared" si="0"/>
        <v>1</v>
      </c>
      <c r="T52" s="417">
        <v>0</v>
      </c>
      <c r="U52" s="417">
        <v>0</v>
      </c>
      <c r="V52" s="417" t="s">
        <v>113</v>
      </c>
      <c r="W52" s="417">
        <v>0</v>
      </c>
      <c r="X52" s="285">
        <v>0</v>
      </c>
      <c r="Y52" s="417" t="s">
        <v>767</v>
      </c>
      <c r="Z52" s="417">
        <v>0.25</v>
      </c>
      <c r="AA52" s="130">
        <v>0.15</v>
      </c>
      <c r="AB52" s="82" t="s">
        <v>768</v>
      </c>
      <c r="AC52" s="417">
        <v>0</v>
      </c>
      <c r="AD52" s="329">
        <v>0</v>
      </c>
      <c r="AE52" s="328" t="s">
        <v>769</v>
      </c>
      <c r="AF52" s="417">
        <v>0</v>
      </c>
      <c r="AG52" s="422">
        <v>0</v>
      </c>
      <c r="AH52" s="157" t="s">
        <v>770</v>
      </c>
      <c r="AI52" s="81">
        <v>0.25</v>
      </c>
      <c r="AJ52" s="417">
        <v>0</v>
      </c>
      <c r="AK52" s="417" t="s">
        <v>771</v>
      </c>
      <c r="AL52" s="417">
        <v>0</v>
      </c>
      <c r="AM52" s="417"/>
      <c r="AN52" s="417"/>
      <c r="AO52" s="417">
        <v>0</v>
      </c>
      <c r="AP52" s="417"/>
      <c r="AQ52" s="417"/>
      <c r="AR52" s="81">
        <v>0.25</v>
      </c>
      <c r="AS52" s="417"/>
      <c r="AT52" s="417"/>
      <c r="AU52" s="417">
        <v>0</v>
      </c>
      <c r="AV52" s="417"/>
      <c r="AW52" s="417"/>
      <c r="AX52" s="417">
        <v>0</v>
      </c>
      <c r="AY52" s="417"/>
      <c r="AZ52" s="417"/>
      <c r="BA52" s="81">
        <v>0.25</v>
      </c>
      <c r="BB52" s="41"/>
      <c r="BC52" s="41"/>
      <c r="BD52" s="413">
        <f t="shared" si="2"/>
        <v>0.5</v>
      </c>
      <c r="BE52" s="413">
        <f t="shared" si="3"/>
        <v>0.15</v>
      </c>
      <c r="BF52" s="68">
        <f t="shared" si="4"/>
        <v>0.3</v>
      </c>
      <c r="BG52" s="47"/>
    </row>
    <row r="53" spans="2:59" s="2" customFormat="1" ht="60.75" hidden="1" customHeight="1">
      <c r="B53" s="44" t="s">
        <v>110</v>
      </c>
      <c r="C53" s="27" t="s">
        <v>772</v>
      </c>
      <c r="D53" s="669"/>
      <c r="E53" s="648"/>
      <c r="F53" s="648"/>
      <c r="G53" s="417" t="s">
        <v>773</v>
      </c>
      <c r="H53" s="417" t="s">
        <v>472</v>
      </c>
      <c r="I53" s="417">
        <v>0.06</v>
      </c>
      <c r="J53" s="417" t="s">
        <v>774</v>
      </c>
      <c r="K53" s="417" t="s">
        <v>73</v>
      </c>
      <c r="L53" s="417" t="s">
        <v>711</v>
      </c>
      <c r="M53" s="417" t="s">
        <v>775</v>
      </c>
      <c r="N53" s="417" t="s">
        <v>776</v>
      </c>
      <c r="O53" s="40">
        <v>44197</v>
      </c>
      <c r="P53" s="40">
        <v>44561</v>
      </c>
      <c r="Q53" s="417">
        <f t="shared" si="1"/>
        <v>0</v>
      </c>
      <c r="R53" s="417">
        <v>4</v>
      </c>
      <c r="S53" s="41">
        <f t="shared" si="0"/>
        <v>2.5</v>
      </c>
      <c r="T53" s="417">
        <v>0</v>
      </c>
      <c r="U53" s="417">
        <v>0</v>
      </c>
      <c r="V53" s="417" t="s">
        <v>113</v>
      </c>
      <c r="W53" s="417">
        <v>0</v>
      </c>
      <c r="X53" s="417">
        <v>0</v>
      </c>
      <c r="Y53" s="417" t="s">
        <v>777</v>
      </c>
      <c r="Z53" s="417">
        <v>0</v>
      </c>
      <c r="AA53" s="82">
        <v>0</v>
      </c>
      <c r="AB53" s="82" t="s">
        <v>778</v>
      </c>
      <c r="AC53" s="417">
        <f>1/R53</f>
        <v>0.25</v>
      </c>
      <c r="AD53" s="328">
        <v>0</v>
      </c>
      <c r="AE53" s="328" t="s">
        <v>779</v>
      </c>
      <c r="AF53" s="417">
        <v>0</v>
      </c>
      <c r="AG53" s="138">
        <v>0</v>
      </c>
      <c r="AH53" s="157" t="s">
        <v>780</v>
      </c>
      <c r="AI53" s="417">
        <f>1/R53</f>
        <v>0.25</v>
      </c>
      <c r="AJ53" s="417">
        <v>0</v>
      </c>
      <c r="AK53" s="417" t="s">
        <v>781</v>
      </c>
      <c r="AL53" s="417">
        <v>0</v>
      </c>
      <c r="AM53" s="417"/>
      <c r="AN53" s="417"/>
      <c r="AO53" s="417">
        <v>1</v>
      </c>
      <c r="AP53" s="417"/>
      <c r="AQ53" s="417"/>
      <c r="AR53" s="417">
        <v>0</v>
      </c>
      <c r="AS53" s="417"/>
      <c r="AT53" s="417"/>
      <c r="AU53" s="417">
        <v>1</v>
      </c>
      <c r="AV53" s="417"/>
      <c r="AW53" s="417"/>
      <c r="AX53" s="417">
        <v>0</v>
      </c>
      <c r="AY53" s="417"/>
      <c r="AZ53" s="417"/>
      <c r="BA53" s="417">
        <v>0</v>
      </c>
      <c r="BB53" s="41"/>
      <c r="BC53" s="41"/>
      <c r="BD53" s="413">
        <f t="shared" si="2"/>
        <v>0.5</v>
      </c>
      <c r="BE53" s="413">
        <f t="shared" si="3"/>
        <v>0</v>
      </c>
      <c r="BF53" s="68">
        <f t="shared" si="4"/>
        <v>0</v>
      </c>
      <c r="BG53" s="47"/>
    </row>
    <row r="54" spans="2:59" s="2" customFormat="1" ht="60.75" hidden="1" customHeight="1">
      <c r="B54" s="44" t="s">
        <v>110</v>
      </c>
      <c r="C54" s="27" t="s">
        <v>782</v>
      </c>
      <c r="D54" s="669"/>
      <c r="E54" s="648"/>
      <c r="F54" s="648"/>
      <c r="G54" s="417" t="s">
        <v>783</v>
      </c>
      <c r="H54" s="417" t="s">
        <v>472</v>
      </c>
      <c r="I54" s="417">
        <v>0.06</v>
      </c>
      <c r="J54" s="417" t="s">
        <v>774</v>
      </c>
      <c r="K54" s="417" t="s">
        <v>73</v>
      </c>
      <c r="L54" s="417" t="s">
        <v>711</v>
      </c>
      <c r="M54" s="417" t="s">
        <v>127</v>
      </c>
      <c r="N54" s="417" t="s">
        <v>776</v>
      </c>
      <c r="O54" s="40">
        <v>44197</v>
      </c>
      <c r="P54" s="40">
        <v>44561</v>
      </c>
      <c r="Q54" s="417">
        <f t="shared" si="1"/>
        <v>0</v>
      </c>
      <c r="R54" s="417">
        <v>2</v>
      </c>
      <c r="S54" s="41">
        <f t="shared" si="0"/>
        <v>2</v>
      </c>
      <c r="T54" s="417">
        <v>0</v>
      </c>
      <c r="U54" s="417">
        <v>0</v>
      </c>
      <c r="V54" s="417" t="s">
        <v>113</v>
      </c>
      <c r="W54" s="417">
        <v>0</v>
      </c>
      <c r="X54" s="417">
        <v>0</v>
      </c>
      <c r="Y54" s="417" t="s">
        <v>777</v>
      </c>
      <c r="Z54" s="417">
        <v>0</v>
      </c>
      <c r="AA54" s="82">
        <v>0</v>
      </c>
      <c r="AB54" s="82" t="s">
        <v>784</v>
      </c>
      <c r="AC54" s="417">
        <v>0</v>
      </c>
      <c r="AD54" s="328">
        <v>0</v>
      </c>
      <c r="AE54" s="328" t="s">
        <v>785</v>
      </c>
      <c r="AF54" s="417">
        <v>0</v>
      </c>
      <c r="AG54" s="138">
        <v>0</v>
      </c>
      <c r="AH54" s="157" t="s">
        <v>786</v>
      </c>
      <c r="AI54" s="417">
        <v>1</v>
      </c>
      <c r="AJ54" s="417">
        <v>0</v>
      </c>
      <c r="AK54" s="417" t="s">
        <v>787</v>
      </c>
      <c r="AL54" s="417">
        <v>0</v>
      </c>
      <c r="AM54" s="417"/>
      <c r="AN54" s="417"/>
      <c r="AO54" s="417">
        <v>0</v>
      </c>
      <c r="AP54" s="417"/>
      <c r="AQ54" s="417"/>
      <c r="AR54" s="417">
        <v>1</v>
      </c>
      <c r="AS54" s="417"/>
      <c r="AT54" s="417"/>
      <c r="AU54" s="417">
        <v>0</v>
      </c>
      <c r="AV54" s="417"/>
      <c r="AW54" s="417"/>
      <c r="AX54" s="417">
        <v>0</v>
      </c>
      <c r="AY54" s="417"/>
      <c r="AZ54" s="417"/>
      <c r="BA54" s="417">
        <v>0</v>
      </c>
      <c r="BB54" s="41"/>
      <c r="BC54" s="41"/>
      <c r="BD54" s="413">
        <f t="shared" si="2"/>
        <v>1</v>
      </c>
      <c r="BE54" s="413">
        <f t="shared" si="3"/>
        <v>0</v>
      </c>
      <c r="BF54" s="68">
        <f t="shared" si="4"/>
        <v>0</v>
      </c>
      <c r="BG54" s="47"/>
    </row>
    <row r="55" spans="2:59" s="2" customFormat="1" ht="60.75" hidden="1" customHeight="1">
      <c r="B55" s="44" t="s">
        <v>110</v>
      </c>
      <c r="C55" s="27" t="s">
        <v>788</v>
      </c>
      <c r="D55" s="669"/>
      <c r="E55" s="648"/>
      <c r="F55" s="648"/>
      <c r="G55" s="417" t="s">
        <v>789</v>
      </c>
      <c r="H55" s="417" t="s">
        <v>690</v>
      </c>
      <c r="I55" s="417" t="s">
        <v>426</v>
      </c>
      <c r="J55" s="417" t="s">
        <v>774</v>
      </c>
      <c r="K55" s="417" t="s">
        <v>79</v>
      </c>
      <c r="L55" s="417" t="s">
        <v>78</v>
      </c>
      <c r="M55" s="417" t="s">
        <v>127</v>
      </c>
      <c r="N55" s="417" t="s">
        <v>790</v>
      </c>
      <c r="O55" s="40">
        <v>44197</v>
      </c>
      <c r="P55" s="40">
        <v>44561</v>
      </c>
      <c r="Q55" s="417">
        <f t="shared" si="1"/>
        <v>0.1</v>
      </c>
      <c r="R55" s="417">
        <v>1</v>
      </c>
      <c r="S55" s="41">
        <f t="shared" si="0"/>
        <v>1</v>
      </c>
      <c r="T55" s="417">
        <v>0</v>
      </c>
      <c r="U55" s="417">
        <v>0</v>
      </c>
      <c r="V55" s="417" t="s">
        <v>113</v>
      </c>
      <c r="W55" s="417">
        <v>0</v>
      </c>
      <c r="X55" s="285">
        <v>0</v>
      </c>
      <c r="Y55" s="417" t="s">
        <v>777</v>
      </c>
      <c r="Z55" s="417">
        <v>0</v>
      </c>
      <c r="AA55" s="295">
        <v>0</v>
      </c>
      <c r="AB55" s="82" t="s">
        <v>791</v>
      </c>
      <c r="AC55" s="417">
        <v>0</v>
      </c>
      <c r="AD55" s="329">
        <v>0</v>
      </c>
      <c r="AE55" s="328" t="s">
        <v>792</v>
      </c>
      <c r="AF55" s="417">
        <v>0.1</v>
      </c>
      <c r="AG55" s="422">
        <v>0.1</v>
      </c>
      <c r="AH55" s="157" t="s">
        <v>793</v>
      </c>
      <c r="AI55" s="81">
        <v>0</v>
      </c>
      <c r="AJ55" s="417">
        <v>0</v>
      </c>
      <c r="AK55" s="417" t="s">
        <v>787</v>
      </c>
      <c r="AL55" s="417">
        <v>0.2</v>
      </c>
      <c r="AM55" s="417"/>
      <c r="AN55" s="417"/>
      <c r="AO55" s="81">
        <v>0</v>
      </c>
      <c r="AP55" s="417"/>
      <c r="AQ55" s="417"/>
      <c r="AR55" s="81">
        <v>0.1</v>
      </c>
      <c r="AS55" s="417"/>
      <c r="AT55" s="417"/>
      <c r="AU55" s="81">
        <v>0.6</v>
      </c>
      <c r="AV55" s="417"/>
      <c r="AW55" s="417"/>
      <c r="AX55" s="417">
        <v>0</v>
      </c>
      <c r="AY55" s="417"/>
      <c r="AZ55" s="417"/>
      <c r="BA55" s="81">
        <v>0</v>
      </c>
      <c r="BB55" s="41"/>
      <c r="BC55" s="41"/>
      <c r="BD55" s="413">
        <f t="shared" si="2"/>
        <v>0.1</v>
      </c>
      <c r="BE55" s="413">
        <f t="shared" si="3"/>
        <v>0.1</v>
      </c>
      <c r="BF55" s="68">
        <f t="shared" si="4"/>
        <v>1</v>
      </c>
    </row>
    <row r="56" spans="2:59" s="2" customFormat="1" ht="60.75" hidden="1" customHeight="1">
      <c r="B56" s="44" t="s">
        <v>116</v>
      </c>
      <c r="C56" s="27" t="s">
        <v>794</v>
      </c>
      <c r="D56" s="669"/>
      <c r="E56" s="648" t="s">
        <v>117</v>
      </c>
      <c r="F56" s="648" t="s">
        <v>795</v>
      </c>
      <c r="G56" s="410" t="s">
        <v>796</v>
      </c>
      <c r="H56" s="410" t="s">
        <v>472</v>
      </c>
      <c r="I56" s="410">
        <v>0.5</v>
      </c>
      <c r="J56" s="410" t="s">
        <v>797</v>
      </c>
      <c r="K56" s="410" t="s">
        <v>73</v>
      </c>
      <c r="L56" s="410" t="s">
        <v>711</v>
      </c>
      <c r="M56" s="410" t="s">
        <v>798</v>
      </c>
      <c r="N56" s="410" t="s">
        <v>753</v>
      </c>
      <c r="O56" s="38">
        <v>44197</v>
      </c>
      <c r="P56" s="38">
        <v>44561</v>
      </c>
      <c r="Q56" s="410">
        <f t="shared" si="1"/>
        <v>1</v>
      </c>
      <c r="R56" s="410">
        <v>10</v>
      </c>
      <c r="S56" s="413">
        <f t="shared" si="0"/>
        <v>1</v>
      </c>
      <c r="T56" s="410">
        <v>0</v>
      </c>
      <c r="U56" s="410">
        <v>0</v>
      </c>
      <c r="V56" s="410" t="s">
        <v>113</v>
      </c>
      <c r="W56" s="410">
        <v>0</v>
      </c>
      <c r="X56" s="410">
        <f>2/R56</f>
        <v>0.2</v>
      </c>
      <c r="Y56" s="410" t="s">
        <v>799</v>
      </c>
      <c r="Z56" s="410">
        <f>5/R56</f>
        <v>0.5</v>
      </c>
      <c r="AA56" s="51">
        <f>+(4/5)*Z56</f>
        <v>0.4</v>
      </c>
      <c r="AB56" s="51" t="s">
        <v>118</v>
      </c>
      <c r="AC56" s="410">
        <f>5/R56</f>
        <v>0.5</v>
      </c>
      <c r="AD56" s="30">
        <f>+(4/5)*AC56</f>
        <v>0.4</v>
      </c>
      <c r="AE56" s="30" t="s">
        <v>800</v>
      </c>
      <c r="AF56" s="410">
        <v>0</v>
      </c>
      <c r="AG56" s="262">
        <v>0</v>
      </c>
      <c r="AH56" s="185" t="s">
        <v>143</v>
      </c>
      <c r="AI56" s="410">
        <v>0</v>
      </c>
      <c r="AJ56" s="410">
        <v>0</v>
      </c>
      <c r="AK56" s="410" t="s">
        <v>604</v>
      </c>
      <c r="AL56" s="410">
        <v>0</v>
      </c>
      <c r="AM56" s="410"/>
      <c r="AN56" s="410"/>
      <c r="AO56" s="410">
        <v>0</v>
      </c>
      <c r="AP56" s="410"/>
      <c r="AQ56" s="410"/>
      <c r="AR56" s="410">
        <v>0</v>
      </c>
      <c r="AS56" s="410"/>
      <c r="AT56" s="410"/>
      <c r="AU56" s="410">
        <v>0</v>
      </c>
      <c r="AV56" s="410"/>
      <c r="AW56" s="410"/>
      <c r="AX56" s="410">
        <v>0</v>
      </c>
      <c r="AY56" s="410"/>
      <c r="AZ56" s="410"/>
      <c r="BA56" s="410">
        <v>0</v>
      </c>
      <c r="BB56" s="413"/>
      <c r="BC56" s="413"/>
      <c r="BD56" s="413">
        <f t="shared" si="2"/>
        <v>1</v>
      </c>
      <c r="BE56" s="413">
        <f t="shared" si="3"/>
        <v>1</v>
      </c>
      <c r="BF56" s="48">
        <f t="shared" si="4"/>
        <v>1</v>
      </c>
      <c r="BG56" s="47"/>
    </row>
    <row r="57" spans="2:59" s="2" customFormat="1" ht="60.75" hidden="1" customHeight="1">
      <c r="B57" s="44" t="s">
        <v>116</v>
      </c>
      <c r="C57" s="27" t="s">
        <v>801</v>
      </c>
      <c r="D57" s="669"/>
      <c r="E57" s="648"/>
      <c r="F57" s="648"/>
      <c r="G57" s="410" t="s">
        <v>802</v>
      </c>
      <c r="H57" s="410" t="s">
        <v>472</v>
      </c>
      <c r="I57" s="410">
        <v>0.5</v>
      </c>
      <c r="J57" s="410" t="s">
        <v>797</v>
      </c>
      <c r="K57" s="410" t="s">
        <v>73</v>
      </c>
      <c r="L57" s="410" t="s">
        <v>711</v>
      </c>
      <c r="M57" s="410" t="s">
        <v>803</v>
      </c>
      <c r="N57" s="410" t="s">
        <v>753</v>
      </c>
      <c r="O57" s="38">
        <v>44197</v>
      </c>
      <c r="P57" s="38">
        <v>44561</v>
      </c>
      <c r="Q57" s="410">
        <f t="shared" si="1"/>
        <v>0</v>
      </c>
      <c r="R57" s="410">
        <v>1</v>
      </c>
      <c r="S57" s="413">
        <f t="shared" si="0"/>
        <v>1</v>
      </c>
      <c r="T57" s="410">
        <v>0</v>
      </c>
      <c r="U57" s="410">
        <v>0</v>
      </c>
      <c r="V57" s="410" t="s">
        <v>113</v>
      </c>
      <c r="W57" s="410">
        <v>0</v>
      </c>
      <c r="X57" s="410">
        <v>0</v>
      </c>
      <c r="Y57" s="410" t="s">
        <v>804</v>
      </c>
      <c r="Z57" s="410">
        <v>0</v>
      </c>
      <c r="AA57" s="51">
        <v>0</v>
      </c>
      <c r="AB57" s="51" t="s">
        <v>805</v>
      </c>
      <c r="AC57" s="410">
        <v>0</v>
      </c>
      <c r="AD57" s="30">
        <v>0</v>
      </c>
      <c r="AE57" s="30" t="s">
        <v>806</v>
      </c>
      <c r="AF57" s="410">
        <v>0</v>
      </c>
      <c r="AG57" s="262">
        <v>0</v>
      </c>
      <c r="AH57" s="185" t="s">
        <v>807</v>
      </c>
      <c r="AI57" s="410">
        <v>0</v>
      </c>
      <c r="AJ57" s="410">
        <v>0</v>
      </c>
      <c r="AK57" s="410" t="s">
        <v>808</v>
      </c>
      <c r="AL57" s="410">
        <v>0</v>
      </c>
      <c r="AM57" s="410"/>
      <c r="AN57" s="410"/>
      <c r="AO57" s="410">
        <v>0</v>
      </c>
      <c r="AP57" s="410"/>
      <c r="AQ57" s="410"/>
      <c r="AR57" s="410">
        <v>0</v>
      </c>
      <c r="AS57" s="410"/>
      <c r="AT57" s="410"/>
      <c r="AU57" s="410">
        <v>0</v>
      </c>
      <c r="AV57" s="410"/>
      <c r="AW57" s="410"/>
      <c r="AX57" s="410">
        <v>0</v>
      </c>
      <c r="AY57" s="410"/>
      <c r="AZ57" s="410"/>
      <c r="BA57" s="410">
        <v>1</v>
      </c>
      <c r="BB57" s="413"/>
      <c r="BC57" s="413"/>
      <c r="BD57" s="413">
        <f t="shared" si="2"/>
        <v>0</v>
      </c>
      <c r="BE57" s="413">
        <f t="shared" si="3"/>
        <v>0</v>
      </c>
      <c r="BF57" s="48" t="str">
        <f t="shared" si="4"/>
        <v>No programación, No avance</v>
      </c>
    </row>
    <row r="58" spans="2:59" s="2" customFormat="1" ht="60.75" hidden="1" customHeight="1">
      <c r="B58" s="44" t="s">
        <v>119</v>
      </c>
      <c r="C58" s="27" t="s">
        <v>809</v>
      </c>
      <c r="D58" s="669"/>
      <c r="E58" s="648" t="s">
        <v>120</v>
      </c>
      <c r="F58" s="648" t="s">
        <v>810</v>
      </c>
      <c r="G58" s="410" t="s">
        <v>811</v>
      </c>
      <c r="H58" s="410" t="s">
        <v>472</v>
      </c>
      <c r="I58" s="410">
        <v>0.1</v>
      </c>
      <c r="J58" s="410" t="s">
        <v>812</v>
      </c>
      <c r="K58" s="410" t="s">
        <v>73</v>
      </c>
      <c r="L58" s="410" t="s">
        <v>711</v>
      </c>
      <c r="M58" s="410" t="s">
        <v>798</v>
      </c>
      <c r="N58" s="410" t="s">
        <v>753</v>
      </c>
      <c r="O58" s="38">
        <v>44197</v>
      </c>
      <c r="P58" s="38">
        <v>44561</v>
      </c>
      <c r="Q58" s="410">
        <f t="shared" si="1"/>
        <v>1</v>
      </c>
      <c r="R58" s="410">
        <v>2</v>
      </c>
      <c r="S58" s="413">
        <f t="shared" si="0"/>
        <v>1</v>
      </c>
      <c r="T58" s="410">
        <v>0</v>
      </c>
      <c r="U58" s="410">
        <v>0</v>
      </c>
      <c r="V58" s="410" t="s">
        <v>113</v>
      </c>
      <c r="W58" s="410">
        <v>1</v>
      </c>
      <c r="X58" s="410">
        <v>0.5</v>
      </c>
      <c r="Y58" s="410" t="s">
        <v>813</v>
      </c>
      <c r="Z58" s="410">
        <v>0</v>
      </c>
      <c r="AA58" s="51">
        <v>0.5</v>
      </c>
      <c r="AB58" s="51" t="s">
        <v>814</v>
      </c>
      <c r="AC58" s="410">
        <v>0</v>
      </c>
      <c r="AD58" s="30">
        <v>0</v>
      </c>
      <c r="AE58" s="30" t="s">
        <v>124</v>
      </c>
      <c r="AF58" s="410">
        <v>0</v>
      </c>
      <c r="AG58" s="262">
        <v>0</v>
      </c>
      <c r="AH58" s="185" t="s">
        <v>815</v>
      </c>
      <c r="AI58" s="410">
        <v>0</v>
      </c>
      <c r="AJ58" s="410">
        <v>0</v>
      </c>
      <c r="AK58" s="410" t="s">
        <v>816</v>
      </c>
      <c r="AL58" s="410">
        <v>0</v>
      </c>
      <c r="AM58" s="410"/>
      <c r="AN58" s="410"/>
      <c r="AO58" s="410">
        <v>0</v>
      </c>
      <c r="AP58" s="410"/>
      <c r="AQ58" s="410"/>
      <c r="AR58" s="410">
        <v>0</v>
      </c>
      <c r="AS58" s="410"/>
      <c r="AT58" s="410"/>
      <c r="AU58" s="410">
        <v>0</v>
      </c>
      <c r="AV58" s="410"/>
      <c r="AW58" s="410"/>
      <c r="AX58" s="410">
        <v>0</v>
      </c>
      <c r="AY58" s="410"/>
      <c r="AZ58" s="410"/>
      <c r="BA58" s="410">
        <v>0</v>
      </c>
      <c r="BB58" s="413"/>
      <c r="BC58" s="413"/>
      <c r="BD58" s="413">
        <f t="shared" si="2"/>
        <v>1</v>
      </c>
      <c r="BE58" s="413">
        <f t="shared" si="3"/>
        <v>1</v>
      </c>
      <c r="BF58" s="48">
        <f t="shared" si="4"/>
        <v>1</v>
      </c>
    </row>
    <row r="59" spans="2:59" s="2" customFormat="1" ht="60.75" hidden="1" customHeight="1">
      <c r="B59" s="44" t="s">
        <v>119</v>
      </c>
      <c r="C59" s="27" t="s">
        <v>817</v>
      </c>
      <c r="D59" s="669"/>
      <c r="E59" s="648"/>
      <c r="F59" s="648"/>
      <c r="G59" s="410" t="s">
        <v>818</v>
      </c>
      <c r="H59" s="410" t="s">
        <v>472</v>
      </c>
      <c r="I59" s="410">
        <v>0.2</v>
      </c>
      <c r="J59" s="410" t="s">
        <v>812</v>
      </c>
      <c r="K59" s="410" t="s">
        <v>73</v>
      </c>
      <c r="L59" s="410" t="s">
        <v>711</v>
      </c>
      <c r="M59" s="410" t="s">
        <v>819</v>
      </c>
      <c r="N59" s="410" t="s">
        <v>753</v>
      </c>
      <c r="O59" s="38">
        <v>44197</v>
      </c>
      <c r="P59" s="38">
        <v>44561</v>
      </c>
      <c r="Q59" s="410">
        <f t="shared" si="1"/>
        <v>0</v>
      </c>
      <c r="R59" s="410">
        <v>1</v>
      </c>
      <c r="S59" s="413">
        <f t="shared" si="0"/>
        <v>1</v>
      </c>
      <c r="T59" s="410">
        <v>0</v>
      </c>
      <c r="U59" s="410">
        <v>0</v>
      </c>
      <c r="V59" s="410" t="s">
        <v>113</v>
      </c>
      <c r="W59" s="410">
        <v>0</v>
      </c>
      <c r="X59" s="410">
        <v>0</v>
      </c>
      <c r="Y59" s="410" t="s">
        <v>121</v>
      </c>
      <c r="Z59" s="410">
        <v>1</v>
      </c>
      <c r="AA59" s="51">
        <v>0</v>
      </c>
      <c r="AB59" s="51" t="s">
        <v>123</v>
      </c>
      <c r="AC59" s="410">
        <v>0</v>
      </c>
      <c r="AD59" s="30">
        <v>0</v>
      </c>
      <c r="AE59" s="30" t="s">
        <v>820</v>
      </c>
      <c r="AF59" s="410">
        <v>0</v>
      </c>
      <c r="AG59" s="262">
        <v>0</v>
      </c>
      <c r="AH59" s="185" t="s">
        <v>820</v>
      </c>
      <c r="AI59" s="410">
        <v>0</v>
      </c>
      <c r="AJ59" s="410">
        <v>0</v>
      </c>
      <c r="AK59" s="410" t="s">
        <v>821</v>
      </c>
      <c r="AL59" s="410">
        <v>0</v>
      </c>
      <c r="AM59" s="410"/>
      <c r="AN59" s="410"/>
      <c r="AO59" s="410">
        <v>0</v>
      </c>
      <c r="AP59" s="410"/>
      <c r="AQ59" s="410"/>
      <c r="AR59" s="410">
        <v>0</v>
      </c>
      <c r="AS59" s="410"/>
      <c r="AT59" s="410"/>
      <c r="AU59" s="410">
        <v>0</v>
      </c>
      <c r="AV59" s="410"/>
      <c r="AW59" s="410"/>
      <c r="AX59" s="410">
        <v>0</v>
      </c>
      <c r="AY59" s="410"/>
      <c r="AZ59" s="410"/>
      <c r="BA59" s="410">
        <v>0</v>
      </c>
      <c r="BB59" s="413"/>
      <c r="BC59" s="413"/>
      <c r="BD59" s="413">
        <f t="shared" si="2"/>
        <v>1</v>
      </c>
      <c r="BE59" s="413">
        <f t="shared" si="3"/>
        <v>0</v>
      </c>
      <c r="BF59" s="48">
        <f t="shared" si="4"/>
        <v>0</v>
      </c>
    </row>
    <row r="60" spans="2:59" s="2" customFormat="1" ht="60.75" hidden="1" customHeight="1">
      <c r="B60" s="44" t="s">
        <v>119</v>
      </c>
      <c r="C60" s="27" t="s">
        <v>822</v>
      </c>
      <c r="D60" s="669"/>
      <c r="E60" s="648"/>
      <c r="F60" s="648"/>
      <c r="G60" s="410" t="s">
        <v>823</v>
      </c>
      <c r="H60" s="410" t="s">
        <v>472</v>
      </c>
      <c r="I60" s="410">
        <v>0.1</v>
      </c>
      <c r="J60" s="410" t="s">
        <v>812</v>
      </c>
      <c r="K60" s="410" t="s">
        <v>73</v>
      </c>
      <c r="L60" s="410" t="s">
        <v>711</v>
      </c>
      <c r="M60" s="410" t="s">
        <v>798</v>
      </c>
      <c r="N60" s="410" t="s">
        <v>753</v>
      </c>
      <c r="O60" s="38">
        <v>44197</v>
      </c>
      <c r="P60" s="38">
        <v>44561</v>
      </c>
      <c r="Q60" s="410">
        <f t="shared" si="1"/>
        <v>0</v>
      </c>
      <c r="R60" s="410">
        <v>3</v>
      </c>
      <c r="S60" s="413">
        <f t="shared" si="0"/>
        <v>1</v>
      </c>
      <c r="T60" s="410">
        <v>0</v>
      </c>
      <c r="U60" s="410">
        <v>0</v>
      </c>
      <c r="V60" s="410" t="s">
        <v>113</v>
      </c>
      <c r="W60" s="410">
        <v>0</v>
      </c>
      <c r="X60" s="410">
        <v>0</v>
      </c>
      <c r="Y60" s="410" t="s">
        <v>824</v>
      </c>
      <c r="Z60" s="410">
        <v>0</v>
      </c>
      <c r="AA60" s="51">
        <v>0</v>
      </c>
      <c r="AB60" s="51" t="s">
        <v>824</v>
      </c>
      <c r="AC60" s="410">
        <f>3/R60</f>
        <v>1</v>
      </c>
      <c r="AD60" s="30">
        <v>0</v>
      </c>
      <c r="AE60" s="30" t="s">
        <v>825</v>
      </c>
      <c r="AF60" s="410">
        <v>0</v>
      </c>
      <c r="AG60" s="262">
        <v>0</v>
      </c>
      <c r="AH60" s="185" t="s">
        <v>825</v>
      </c>
      <c r="AI60" s="410">
        <v>0</v>
      </c>
      <c r="AJ60" s="410">
        <v>0</v>
      </c>
      <c r="AK60" s="410" t="s">
        <v>826</v>
      </c>
      <c r="AL60" s="410">
        <v>0</v>
      </c>
      <c r="AM60" s="410"/>
      <c r="AN60" s="410"/>
      <c r="AO60" s="410">
        <v>0</v>
      </c>
      <c r="AP60" s="410"/>
      <c r="AQ60" s="410"/>
      <c r="AR60" s="410">
        <v>0</v>
      </c>
      <c r="AS60" s="410"/>
      <c r="AT60" s="410"/>
      <c r="AU60" s="410">
        <v>0</v>
      </c>
      <c r="AV60" s="410"/>
      <c r="AW60" s="410"/>
      <c r="AX60" s="410">
        <v>0</v>
      </c>
      <c r="AY60" s="410"/>
      <c r="AZ60" s="410"/>
      <c r="BA60" s="410">
        <v>0</v>
      </c>
      <c r="BB60" s="413"/>
      <c r="BC60" s="413"/>
      <c r="BD60" s="413">
        <f t="shared" si="2"/>
        <v>1</v>
      </c>
      <c r="BE60" s="413">
        <f t="shared" si="3"/>
        <v>0</v>
      </c>
      <c r="BF60" s="48">
        <f t="shared" si="4"/>
        <v>0</v>
      </c>
    </row>
    <row r="61" spans="2:59" s="2" customFormat="1" ht="60.75" hidden="1" customHeight="1">
      <c r="B61" s="44" t="s">
        <v>119</v>
      </c>
      <c r="C61" s="27" t="s">
        <v>827</v>
      </c>
      <c r="D61" s="669"/>
      <c r="E61" s="648"/>
      <c r="F61" s="648"/>
      <c r="G61" s="410" t="s">
        <v>828</v>
      </c>
      <c r="H61" s="410" t="s">
        <v>472</v>
      </c>
      <c r="I61" s="410">
        <v>0.5</v>
      </c>
      <c r="J61" s="410" t="s">
        <v>812</v>
      </c>
      <c r="K61" s="410" t="s">
        <v>79</v>
      </c>
      <c r="L61" s="410" t="s">
        <v>78</v>
      </c>
      <c r="M61" s="410" t="s">
        <v>798</v>
      </c>
      <c r="N61" s="410" t="s">
        <v>753</v>
      </c>
      <c r="O61" s="38">
        <v>44197</v>
      </c>
      <c r="P61" s="38">
        <v>44561</v>
      </c>
      <c r="Q61" s="410">
        <f t="shared" si="1"/>
        <v>0</v>
      </c>
      <c r="R61" s="410">
        <v>1</v>
      </c>
      <c r="S61" s="413">
        <f t="shared" si="0"/>
        <v>1</v>
      </c>
      <c r="T61" s="410">
        <v>0</v>
      </c>
      <c r="U61" s="410">
        <v>0</v>
      </c>
      <c r="V61" s="410" t="s">
        <v>113</v>
      </c>
      <c r="W61" s="410">
        <v>0</v>
      </c>
      <c r="X61" s="286">
        <v>0</v>
      </c>
      <c r="Y61" s="410" t="s">
        <v>829</v>
      </c>
      <c r="Z61" s="410">
        <v>0</v>
      </c>
      <c r="AA61" s="281">
        <v>0</v>
      </c>
      <c r="AB61" s="51" t="s">
        <v>830</v>
      </c>
      <c r="AC61" s="410">
        <v>0</v>
      </c>
      <c r="AD61" s="301">
        <v>0</v>
      </c>
      <c r="AE61" s="30" t="s">
        <v>829</v>
      </c>
      <c r="AF61" s="410">
        <v>0.1</v>
      </c>
      <c r="AG61" s="423">
        <v>0</v>
      </c>
      <c r="AH61" s="185" t="s">
        <v>829</v>
      </c>
      <c r="AI61" s="410">
        <v>0.1</v>
      </c>
      <c r="AJ61" s="410">
        <v>0</v>
      </c>
      <c r="AK61" s="410" t="s">
        <v>831</v>
      </c>
      <c r="AL61" s="410">
        <v>0.1</v>
      </c>
      <c r="AM61" s="410"/>
      <c r="AN61" s="410"/>
      <c r="AO61" s="410">
        <v>0.1</v>
      </c>
      <c r="AP61" s="410"/>
      <c r="AQ61" s="410"/>
      <c r="AR61" s="410">
        <v>0.1</v>
      </c>
      <c r="AS61" s="410"/>
      <c r="AT61" s="410"/>
      <c r="AU61" s="410">
        <v>0.1</v>
      </c>
      <c r="AV61" s="410"/>
      <c r="AW61" s="410"/>
      <c r="AX61" s="410">
        <v>0.2</v>
      </c>
      <c r="AY61" s="410"/>
      <c r="AZ61" s="410"/>
      <c r="BA61" s="410">
        <v>0.2</v>
      </c>
      <c r="BB61" s="413"/>
      <c r="BC61" s="413"/>
      <c r="BD61" s="413">
        <f t="shared" si="2"/>
        <v>0.2</v>
      </c>
      <c r="BE61" s="413">
        <f t="shared" si="3"/>
        <v>0</v>
      </c>
      <c r="BF61" s="48">
        <f t="shared" si="4"/>
        <v>0</v>
      </c>
    </row>
    <row r="62" spans="2:59" s="2" customFormat="1" ht="60.75" hidden="1" customHeight="1">
      <c r="B62" s="44" t="s">
        <v>119</v>
      </c>
      <c r="C62" s="27" t="s">
        <v>832</v>
      </c>
      <c r="D62" s="669"/>
      <c r="E62" s="648"/>
      <c r="F62" s="648"/>
      <c r="G62" s="417" t="s">
        <v>833</v>
      </c>
      <c r="H62" s="417" t="s">
        <v>531</v>
      </c>
      <c r="I62" s="417">
        <v>0.1</v>
      </c>
      <c r="J62" s="417" t="s">
        <v>812</v>
      </c>
      <c r="K62" s="417" t="s">
        <v>73</v>
      </c>
      <c r="L62" s="417" t="s">
        <v>711</v>
      </c>
      <c r="M62" s="417" t="s">
        <v>819</v>
      </c>
      <c r="N62" s="417" t="s">
        <v>753</v>
      </c>
      <c r="O62" s="40">
        <v>44197</v>
      </c>
      <c r="P62" s="40">
        <v>44561</v>
      </c>
      <c r="Q62" s="417">
        <f t="shared" si="1"/>
        <v>0</v>
      </c>
      <c r="R62" s="417">
        <v>1</v>
      </c>
      <c r="S62" s="41">
        <f t="shared" si="0"/>
        <v>1</v>
      </c>
      <c r="T62" s="417">
        <v>0</v>
      </c>
      <c r="U62" s="417">
        <v>0</v>
      </c>
      <c r="V62" s="417" t="s">
        <v>113</v>
      </c>
      <c r="W62" s="417">
        <v>0</v>
      </c>
      <c r="X62" s="417">
        <v>0</v>
      </c>
      <c r="Y62" s="417" t="s">
        <v>834</v>
      </c>
      <c r="Z62" s="417">
        <v>0</v>
      </c>
      <c r="AA62" s="82">
        <v>0</v>
      </c>
      <c r="AB62" s="82" t="s">
        <v>835</v>
      </c>
      <c r="AC62" s="417">
        <v>0</v>
      </c>
      <c r="AD62" s="328">
        <v>0</v>
      </c>
      <c r="AE62" s="328" t="s">
        <v>143</v>
      </c>
      <c r="AF62" s="417">
        <v>0</v>
      </c>
      <c r="AG62" s="138">
        <v>0</v>
      </c>
      <c r="AH62" s="157" t="s">
        <v>836</v>
      </c>
      <c r="AI62" s="417">
        <v>0</v>
      </c>
      <c r="AJ62" s="417">
        <v>0</v>
      </c>
      <c r="AK62" s="417" t="s">
        <v>837</v>
      </c>
      <c r="AL62" s="417">
        <v>0</v>
      </c>
      <c r="AM62" s="417"/>
      <c r="AN62" s="417"/>
      <c r="AO62" s="417">
        <v>0</v>
      </c>
      <c r="AP62" s="417"/>
      <c r="AQ62" s="417"/>
      <c r="AR62" s="417">
        <v>0</v>
      </c>
      <c r="AS62" s="417"/>
      <c r="AT62" s="417"/>
      <c r="AU62" s="417">
        <v>0</v>
      </c>
      <c r="AV62" s="417"/>
      <c r="AW62" s="417"/>
      <c r="AX62" s="417">
        <v>1</v>
      </c>
      <c r="AY62" s="417"/>
      <c r="AZ62" s="417"/>
      <c r="BA62" s="417">
        <v>0</v>
      </c>
      <c r="BB62" s="41"/>
      <c r="BC62" s="41"/>
      <c r="BD62" s="413">
        <f t="shared" si="2"/>
        <v>0</v>
      </c>
      <c r="BE62" s="413">
        <f t="shared" si="3"/>
        <v>0</v>
      </c>
      <c r="BF62" s="68" t="str">
        <f t="shared" si="4"/>
        <v>No programación, No avance</v>
      </c>
    </row>
    <row r="63" spans="2:59" s="2" customFormat="1" ht="60.75" hidden="1" customHeight="1">
      <c r="B63" s="44" t="s">
        <v>125</v>
      </c>
      <c r="C63" s="27" t="s">
        <v>838</v>
      </c>
      <c r="D63" s="669"/>
      <c r="E63" s="648" t="s">
        <v>126</v>
      </c>
      <c r="F63" s="671" t="s">
        <v>839</v>
      </c>
      <c r="G63" s="417" t="s">
        <v>840</v>
      </c>
      <c r="H63" s="417" t="s">
        <v>472</v>
      </c>
      <c r="I63" s="417">
        <v>0.15</v>
      </c>
      <c r="J63" s="417" t="s">
        <v>841</v>
      </c>
      <c r="K63" s="417" t="s">
        <v>73</v>
      </c>
      <c r="L63" s="417" t="s">
        <v>842</v>
      </c>
      <c r="M63" s="417" t="s">
        <v>843</v>
      </c>
      <c r="N63" s="417" t="s">
        <v>776</v>
      </c>
      <c r="O63" s="40">
        <v>44197</v>
      </c>
      <c r="P63" s="40">
        <v>44561</v>
      </c>
      <c r="Q63" s="417">
        <f t="shared" si="1"/>
        <v>0</v>
      </c>
      <c r="R63" s="417">
        <v>1</v>
      </c>
      <c r="S63" s="41">
        <f t="shared" si="0"/>
        <v>1</v>
      </c>
      <c r="T63" s="417">
        <v>0</v>
      </c>
      <c r="U63" s="417">
        <v>0</v>
      </c>
      <c r="V63" s="417" t="s">
        <v>844</v>
      </c>
      <c r="W63" s="417">
        <v>0</v>
      </c>
      <c r="X63" s="417">
        <v>0</v>
      </c>
      <c r="Y63" s="417" t="s">
        <v>128</v>
      </c>
      <c r="Z63" s="417">
        <v>0</v>
      </c>
      <c r="AA63" s="82">
        <v>0</v>
      </c>
      <c r="AB63" s="82" t="s">
        <v>129</v>
      </c>
      <c r="AC63" s="417">
        <v>0</v>
      </c>
      <c r="AD63" s="328">
        <v>0</v>
      </c>
      <c r="AE63" s="328" t="s">
        <v>845</v>
      </c>
      <c r="AF63" s="417">
        <v>0</v>
      </c>
      <c r="AG63" s="138">
        <v>0</v>
      </c>
      <c r="AH63" s="157" t="s">
        <v>846</v>
      </c>
      <c r="AI63" s="417">
        <v>0</v>
      </c>
      <c r="AJ63" s="417">
        <v>0</v>
      </c>
      <c r="AK63" s="417" t="s">
        <v>847</v>
      </c>
      <c r="AL63" s="417">
        <v>0</v>
      </c>
      <c r="AM63" s="417"/>
      <c r="AN63" s="417"/>
      <c r="AO63" s="417">
        <v>0</v>
      </c>
      <c r="AP63" s="417"/>
      <c r="AQ63" s="417"/>
      <c r="AR63" s="417">
        <v>0</v>
      </c>
      <c r="AS63" s="417"/>
      <c r="AT63" s="417"/>
      <c r="AU63" s="417">
        <v>1</v>
      </c>
      <c r="AV63" s="417"/>
      <c r="AW63" s="417"/>
      <c r="AX63" s="417">
        <v>0</v>
      </c>
      <c r="AY63" s="417"/>
      <c r="AZ63" s="417"/>
      <c r="BA63" s="417">
        <v>0</v>
      </c>
      <c r="BB63" s="41"/>
      <c r="BC63" s="41"/>
      <c r="BD63" s="413">
        <f t="shared" si="2"/>
        <v>0</v>
      </c>
      <c r="BE63" s="413">
        <f t="shared" si="3"/>
        <v>0</v>
      </c>
      <c r="BF63" s="68" t="str">
        <f t="shared" si="4"/>
        <v>No programación, No avance</v>
      </c>
    </row>
    <row r="64" spans="2:59" s="2" customFormat="1" ht="60.75" hidden="1" customHeight="1">
      <c r="B64" s="44" t="s">
        <v>125</v>
      </c>
      <c r="C64" s="27" t="s">
        <v>848</v>
      </c>
      <c r="D64" s="669"/>
      <c r="E64" s="648"/>
      <c r="F64" s="671"/>
      <c r="G64" s="417" t="s">
        <v>849</v>
      </c>
      <c r="H64" s="417" t="s">
        <v>472</v>
      </c>
      <c r="I64" s="417">
        <v>0.1</v>
      </c>
      <c r="J64" s="417" t="s">
        <v>841</v>
      </c>
      <c r="K64" s="417" t="s">
        <v>73</v>
      </c>
      <c r="L64" s="417" t="s">
        <v>842</v>
      </c>
      <c r="M64" s="417" t="s">
        <v>850</v>
      </c>
      <c r="N64" s="417" t="s">
        <v>776</v>
      </c>
      <c r="O64" s="40">
        <v>44197</v>
      </c>
      <c r="P64" s="40">
        <v>44561</v>
      </c>
      <c r="Q64" s="417">
        <f t="shared" si="1"/>
        <v>0</v>
      </c>
      <c r="R64" s="417">
        <v>1</v>
      </c>
      <c r="S64" s="41">
        <f t="shared" si="0"/>
        <v>1</v>
      </c>
      <c r="T64" s="417">
        <v>0</v>
      </c>
      <c r="U64" s="417">
        <v>0</v>
      </c>
      <c r="V64" s="417" t="s">
        <v>851</v>
      </c>
      <c r="W64" s="417">
        <v>0</v>
      </c>
      <c r="X64" s="417">
        <v>0</v>
      </c>
      <c r="Y64" s="417" t="s">
        <v>851</v>
      </c>
      <c r="Z64" s="417">
        <v>0</v>
      </c>
      <c r="AA64" s="82">
        <v>0</v>
      </c>
      <c r="AB64" s="82" t="s">
        <v>852</v>
      </c>
      <c r="AC64" s="417">
        <v>0</v>
      </c>
      <c r="AD64" s="328">
        <v>0</v>
      </c>
      <c r="AE64" s="328" t="s">
        <v>853</v>
      </c>
      <c r="AF64" s="417">
        <v>0</v>
      </c>
      <c r="AG64" s="138">
        <v>0</v>
      </c>
      <c r="AH64" s="157" t="s">
        <v>846</v>
      </c>
      <c r="AI64" s="417">
        <v>0</v>
      </c>
      <c r="AJ64" s="417">
        <v>0</v>
      </c>
      <c r="AK64" s="417" t="s">
        <v>854</v>
      </c>
      <c r="AL64" s="417">
        <v>0</v>
      </c>
      <c r="AM64" s="417"/>
      <c r="AN64" s="417"/>
      <c r="AO64" s="417">
        <v>0</v>
      </c>
      <c r="AP64" s="417"/>
      <c r="AQ64" s="417"/>
      <c r="AR64" s="417">
        <v>0</v>
      </c>
      <c r="AS64" s="417"/>
      <c r="AT64" s="417"/>
      <c r="AU64" s="417">
        <v>1</v>
      </c>
      <c r="AV64" s="417"/>
      <c r="AW64" s="417"/>
      <c r="AX64" s="417">
        <v>0</v>
      </c>
      <c r="AY64" s="417"/>
      <c r="AZ64" s="417"/>
      <c r="BA64" s="417">
        <v>0</v>
      </c>
      <c r="BB64" s="41"/>
      <c r="BC64" s="41"/>
      <c r="BD64" s="413">
        <f t="shared" si="2"/>
        <v>0</v>
      </c>
      <c r="BE64" s="413">
        <f t="shared" si="3"/>
        <v>0</v>
      </c>
      <c r="BF64" s="68" t="str">
        <f t="shared" si="4"/>
        <v>No programación, No avance</v>
      </c>
      <c r="BG64" s="47"/>
    </row>
    <row r="65" spans="2:59" s="2" customFormat="1" ht="60.75" hidden="1" customHeight="1">
      <c r="B65" s="44" t="s">
        <v>125</v>
      </c>
      <c r="C65" s="27" t="s">
        <v>855</v>
      </c>
      <c r="D65" s="669"/>
      <c r="E65" s="648"/>
      <c r="F65" s="671"/>
      <c r="G65" s="417" t="s">
        <v>856</v>
      </c>
      <c r="H65" s="417" t="s">
        <v>472</v>
      </c>
      <c r="I65" s="417">
        <v>0.05</v>
      </c>
      <c r="J65" s="417" t="s">
        <v>841</v>
      </c>
      <c r="K65" s="417" t="s">
        <v>73</v>
      </c>
      <c r="L65" s="417" t="s">
        <v>842</v>
      </c>
      <c r="M65" s="417" t="s">
        <v>857</v>
      </c>
      <c r="N65" s="417" t="s">
        <v>776</v>
      </c>
      <c r="O65" s="40">
        <v>44197</v>
      </c>
      <c r="P65" s="40">
        <v>44561</v>
      </c>
      <c r="Q65" s="417">
        <f t="shared" si="1"/>
        <v>0.8</v>
      </c>
      <c r="R65" s="417">
        <v>1</v>
      </c>
      <c r="S65" s="41">
        <f t="shared" si="0"/>
        <v>1</v>
      </c>
      <c r="T65" s="417">
        <v>0</v>
      </c>
      <c r="U65" s="417">
        <v>0</v>
      </c>
      <c r="V65" s="417" t="s">
        <v>858</v>
      </c>
      <c r="W65" s="417">
        <v>0</v>
      </c>
      <c r="X65" s="417">
        <v>0</v>
      </c>
      <c r="Y65" s="417" t="s">
        <v>859</v>
      </c>
      <c r="Z65" s="417">
        <v>0</v>
      </c>
      <c r="AA65" s="82">
        <v>0</v>
      </c>
      <c r="AB65" s="82" t="s">
        <v>860</v>
      </c>
      <c r="AC65" s="417">
        <v>0</v>
      </c>
      <c r="AD65" s="328">
        <v>0</v>
      </c>
      <c r="AE65" s="328" t="s">
        <v>861</v>
      </c>
      <c r="AF65" s="417">
        <v>0</v>
      </c>
      <c r="AG65" s="138">
        <v>0.8</v>
      </c>
      <c r="AH65" s="157" t="s">
        <v>862</v>
      </c>
      <c r="AI65" s="417">
        <v>0</v>
      </c>
      <c r="AJ65" s="417">
        <v>0</v>
      </c>
      <c r="AK65" s="417" t="s">
        <v>863</v>
      </c>
      <c r="AL65" s="417">
        <v>0</v>
      </c>
      <c r="AM65" s="417"/>
      <c r="AN65" s="417"/>
      <c r="AO65" s="417">
        <v>0</v>
      </c>
      <c r="AP65" s="417"/>
      <c r="AQ65" s="417"/>
      <c r="AR65" s="417">
        <v>0</v>
      </c>
      <c r="AS65" s="417"/>
      <c r="AT65" s="417"/>
      <c r="AU65" s="417">
        <v>0</v>
      </c>
      <c r="AV65" s="417"/>
      <c r="AW65" s="417"/>
      <c r="AX65" s="417">
        <v>0</v>
      </c>
      <c r="AY65" s="417"/>
      <c r="AZ65" s="417"/>
      <c r="BA65" s="417">
        <v>1</v>
      </c>
      <c r="BB65" s="41"/>
      <c r="BC65" s="41"/>
      <c r="BD65" s="413">
        <f t="shared" si="2"/>
        <v>0</v>
      </c>
      <c r="BE65" s="413">
        <f t="shared" si="3"/>
        <v>0.8</v>
      </c>
      <c r="BF65" s="68">
        <f t="shared" si="4"/>
        <v>0.8</v>
      </c>
    </row>
    <row r="66" spans="2:59" s="2" customFormat="1" ht="60.75" hidden="1" customHeight="1">
      <c r="B66" s="44" t="s">
        <v>125</v>
      </c>
      <c r="C66" s="27" t="s">
        <v>864</v>
      </c>
      <c r="D66" s="669"/>
      <c r="E66" s="648"/>
      <c r="F66" s="671"/>
      <c r="G66" s="417" t="s">
        <v>865</v>
      </c>
      <c r="H66" s="417" t="s">
        <v>472</v>
      </c>
      <c r="I66" s="417">
        <v>0.05</v>
      </c>
      <c r="J66" s="417" t="s">
        <v>841</v>
      </c>
      <c r="K66" s="417" t="s">
        <v>73</v>
      </c>
      <c r="L66" s="417" t="s">
        <v>842</v>
      </c>
      <c r="M66" s="417" t="s">
        <v>866</v>
      </c>
      <c r="N66" s="417" t="s">
        <v>776</v>
      </c>
      <c r="O66" s="40">
        <v>44197</v>
      </c>
      <c r="P66" s="40">
        <v>44561</v>
      </c>
      <c r="Q66" s="417">
        <f t="shared" si="1"/>
        <v>0.05</v>
      </c>
      <c r="R66" s="417">
        <v>1</v>
      </c>
      <c r="S66" s="41">
        <f t="shared" si="0"/>
        <v>1</v>
      </c>
      <c r="T66" s="417">
        <v>0</v>
      </c>
      <c r="U66" s="417">
        <v>0</v>
      </c>
      <c r="V66" s="417" t="s">
        <v>867</v>
      </c>
      <c r="W66" s="417">
        <v>0</v>
      </c>
      <c r="X66" s="417">
        <v>0</v>
      </c>
      <c r="Y66" s="417" t="s">
        <v>867</v>
      </c>
      <c r="Z66" s="417">
        <v>0</v>
      </c>
      <c r="AA66" s="82">
        <v>0</v>
      </c>
      <c r="AB66" s="82" t="s">
        <v>846</v>
      </c>
      <c r="AC66" s="417">
        <v>0</v>
      </c>
      <c r="AD66" s="328">
        <v>0</v>
      </c>
      <c r="AE66" s="328" t="s">
        <v>868</v>
      </c>
      <c r="AF66" s="417">
        <v>0</v>
      </c>
      <c r="AG66" s="138">
        <v>0.05</v>
      </c>
      <c r="AH66" s="157" t="s">
        <v>869</v>
      </c>
      <c r="AI66" s="417">
        <v>0</v>
      </c>
      <c r="AJ66" s="417">
        <v>0</v>
      </c>
      <c r="AK66" s="417" t="s">
        <v>870</v>
      </c>
      <c r="AL66" s="417">
        <v>0</v>
      </c>
      <c r="AM66" s="417"/>
      <c r="AN66" s="417"/>
      <c r="AO66" s="417">
        <v>0</v>
      </c>
      <c r="AP66" s="417"/>
      <c r="AQ66" s="417"/>
      <c r="AR66" s="417">
        <v>0</v>
      </c>
      <c r="AS66" s="417"/>
      <c r="AT66" s="417"/>
      <c r="AU66" s="417">
        <v>0</v>
      </c>
      <c r="AV66" s="417"/>
      <c r="AW66" s="417"/>
      <c r="AX66" s="417">
        <v>1</v>
      </c>
      <c r="AY66" s="417"/>
      <c r="AZ66" s="417"/>
      <c r="BA66" s="417">
        <v>0</v>
      </c>
      <c r="BB66" s="41"/>
      <c r="BC66" s="41"/>
      <c r="BD66" s="413">
        <f t="shared" si="2"/>
        <v>0</v>
      </c>
      <c r="BE66" s="413">
        <f t="shared" si="3"/>
        <v>0.05</v>
      </c>
      <c r="BF66" s="68">
        <f t="shared" si="4"/>
        <v>0.05</v>
      </c>
    </row>
    <row r="67" spans="2:59" s="2" customFormat="1" ht="60.75" hidden="1" customHeight="1">
      <c r="B67" s="44" t="s">
        <v>125</v>
      </c>
      <c r="C67" s="27" t="s">
        <v>871</v>
      </c>
      <c r="D67" s="669"/>
      <c r="E67" s="648"/>
      <c r="F67" s="671"/>
      <c r="G67" s="417" t="s">
        <v>872</v>
      </c>
      <c r="H67" s="417" t="s">
        <v>531</v>
      </c>
      <c r="I67" s="417">
        <v>0.05</v>
      </c>
      <c r="J67" s="417" t="s">
        <v>841</v>
      </c>
      <c r="K67" s="417" t="s">
        <v>73</v>
      </c>
      <c r="L67" s="417" t="s">
        <v>873</v>
      </c>
      <c r="M67" s="417" t="s">
        <v>127</v>
      </c>
      <c r="N67" s="417" t="s">
        <v>776</v>
      </c>
      <c r="O67" s="40">
        <v>44197</v>
      </c>
      <c r="P67" s="40">
        <v>44561</v>
      </c>
      <c r="Q67" s="417">
        <f t="shared" si="1"/>
        <v>0.3</v>
      </c>
      <c r="R67" s="417">
        <v>1</v>
      </c>
      <c r="S67" s="41">
        <f t="shared" si="0"/>
        <v>1</v>
      </c>
      <c r="T67" s="417">
        <v>0</v>
      </c>
      <c r="U67" s="417">
        <v>0</v>
      </c>
      <c r="V67" s="417" t="s">
        <v>874</v>
      </c>
      <c r="W67" s="417">
        <v>0</v>
      </c>
      <c r="X67" s="417">
        <v>0</v>
      </c>
      <c r="Y67" s="417" t="s">
        <v>875</v>
      </c>
      <c r="Z67" s="417">
        <v>0</v>
      </c>
      <c r="AA67" s="82">
        <v>0</v>
      </c>
      <c r="AB67" s="82" t="s">
        <v>876</v>
      </c>
      <c r="AC67" s="417">
        <v>0</v>
      </c>
      <c r="AD67" s="328">
        <v>0</v>
      </c>
      <c r="AE67" s="328" t="s">
        <v>877</v>
      </c>
      <c r="AF67" s="417">
        <v>0</v>
      </c>
      <c r="AG67" s="138">
        <v>0.3</v>
      </c>
      <c r="AH67" s="157" t="s">
        <v>878</v>
      </c>
      <c r="AI67" s="417">
        <v>1</v>
      </c>
      <c r="AJ67" s="417">
        <v>0</v>
      </c>
      <c r="AK67" s="417" t="s">
        <v>879</v>
      </c>
      <c r="AL67" s="417">
        <v>0</v>
      </c>
      <c r="AM67" s="417"/>
      <c r="AN67" s="417"/>
      <c r="AO67" s="417">
        <v>0</v>
      </c>
      <c r="AP67" s="417"/>
      <c r="AQ67" s="417"/>
      <c r="AR67" s="417">
        <v>0</v>
      </c>
      <c r="AS67" s="417"/>
      <c r="AT67" s="417"/>
      <c r="AU67" s="417">
        <v>0</v>
      </c>
      <c r="AV67" s="417"/>
      <c r="AW67" s="417"/>
      <c r="AX67" s="417">
        <v>0</v>
      </c>
      <c r="AY67" s="417"/>
      <c r="AZ67" s="417"/>
      <c r="BA67" s="417">
        <v>0</v>
      </c>
      <c r="BB67" s="41"/>
      <c r="BC67" s="41"/>
      <c r="BD67" s="413">
        <f t="shared" si="2"/>
        <v>1</v>
      </c>
      <c r="BE67" s="413">
        <f t="shared" si="3"/>
        <v>0.3</v>
      </c>
      <c r="BF67" s="68">
        <f t="shared" si="4"/>
        <v>0.3</v>
      </c>
    </row>
    <row r="68" spans="2:59" s="2" customFormat="1" ht="60.75" hidden="1" customHeight="1">
      <c r="B68" s="44" t="s">
        <v>125</v>
      </c>
      <c r="C68" s="27" t="s">
        <v>880</v>
      </c>
      <c r="D68" s="669"/>
      <c r="E68" s="648"/>
      <c r="F68" s="671"/>
      <c r="G68" s="417" t="s">
        <v>881</v>
      </c>
      <c r="H68" s="417" t="s">
        <v>531</v>
      </c>
      <c r="I68" s="417">
        <v>0.15</v>
      </c>
      <c r="J68" s="417" t="s">
        <v>841</v>
      </c>
      <c r="K68" s="417" t="s">
        <v>73</v>
      </c>
      <c r="L68" s="417" t="s">
        <v>873</v>
      </c>
      <c r="M68" s="417" t="s">
        <v>882</v>
      </c>
      <c r="N68" s="417" t="s">
        <v>776</v>
      </c>
      <c r="O68" s="40">
        <v>44197</v>
      </c>
      <c r="P68" s="40">
        <v>44561</v>
      </c>
      <c r="Q68" s="417">
        <f t="shared" si="1"/>
        <v>1</v>
      </c>
      <c r="R68" s="417">
        <v>1</v>
      </c>
      <c r="S68" s="41">
        <f t="shared" si="0"/>
        <v>1</v>
      </c>
      <c r="T68" s="417">
        <v>0</v>
      </c>
      <c r="U68" s="417">
        <v>0</v>
      </c>
      <c r="V68" s="417" t="s">
        <v>113</v>
      </c>
      <c r="W68" s="417">
        <v>0</v>
      </c>
      <c r="X68" s="417">
        <v>0</v>
      </c>
      <c r="Y68" s="417" t="s">
        <v>883</v>
      </c>
      <c r="Z68" s="417">
        <v>0</v>
      </c>
      <c r="AA68" s="82">
        <v>0</v>
      </c>
      <c r="AB68" s="82" t="s">
        <v>884</v>
      </c>
      <c r="AC68" s="417">
        <v>1</v>
      </c>
      <c r="AD68" s="328">
        <v>1</v>
      </c>
      <c r="AE68" s="328" t="s">
        <v>885</v>
      </c>
      <c r="AF68" s="417">
        <v>0</v>
      </c>
      <c r="AG68" s="138">
        <v>0</v>
      </c>
      <c r="AH68" s="157" t="s">
        <v>886</v>
      </c>
      <c r="AI68" s="417">
        <v>0</v>
      </c>
      <c r="AJ68" s="417">
        <v>0</v>
      </c>
      <c r="AK68" s="417" t="s">
        <v>604</v>
      </c>
      <c r="AL68" s="417">
        <v>0</v>
      </c>
      <c r="AM68" s="417"/>
      <c r="AN68" s="417"/>
      <c r="AO68" s="417">
        <v>0</v>
      </c>
      <c r="AP68" s="417"/>
      <c r="AQ68" s="417"/>
      <c r="AR68" s="417">
        <v>0</v>
      </c>
      <c r="AS68" s="417"/>
      <c r="AT68" s="417"/>
      <c r="AU68" s="417">
        <v>0</v>
      </c>
      <c r="AV68" s="417"/>
      <c r="AW68" s="417"/>
      <c r="AX68" s="417">
        <v>0</v>
      </c>
      <c r="AY68" s="417"/>
      <c r="AZ68" s="417"/>
      <c r="BA68" s="417">
        <v>0</v>
      </c>
      <c r="BB68" s="41"/>
      <c r="BC68" s="41"/>
      <c r="BD68" s="413">
        <f t="shared" si="2"/>
        <v>1</v>
      </c>
      <c r="BE68" s="413">
        <f t="shared" si="3"/>
        <v>1</v>
      </c>
      <c r="BF68" s="68">
        <f t="shared" si="4"/>
        <v>1</v>
      </c>
    </row>
    <row r="69" spans="2:59" s="2" customFormat="1" ht="60.75" hidden="1" customHeight="1">
      <c r="B69" s="44" t="s">
        <v>125</v>
      </c>
      <c r="C69" s="27" t="s">
        <v>887</v>
      </c>
      <c r="D69" s="669"/>
      <c r="E69" s="648"/>
      <c r="F69" s="671"/>
      <c r="G69" s="417" t="s">
        <v>888</v>
      </c>
      <c r="H69" s="417" t="s">
        <v>531</v>
      </c>
      <c r="I69" s="417">
        <v>0.05</v>
      </c>
      <c r="J69" s="417" t="s">
        <v>841</v>
      </c>
      <c r="K69" s="417" t="s">
        <v>73</v>
      </c>
      <c r="L69" s="417" t="s">
        <v>873</v>
      </c>
      <c r="M69" s="417" t="s">
        <v>882</v>
      </c>
      <c r="N69" s="417" t="s">
        <v>776</v>
      </c>
      <c r="O69" s="40">
        <v>44197</v>
      </c>
      <c r="P69" s="40">
        <v>44561</v>
      </c>
      <c r="Q69" s="417">
        <f t="shared" si="1"/>
        <v>1</v>
      </c>
      <c r="R69" s="417">
        <v>1</v>
      </c>
      <c r="S69" s="41">
        <f t="shared" si="0"/>
        <v>1</v>
      </c>
      <c r="T69" s="417">
        <v>0</v>
      </c>
      <c r="U69" s="417">
        <v>0</v>
      </c>
      <c r="V69" s="417" t="s">
        <v>867</v>
      </c>
      <c r="W69" s="417">
        <v>0</v>
      </c>
      <c r="X69" s="417">
        <v>0</v>
      </c>
      <c r="Y69" s="417" t="s">
        <v>867</v>
      </c>
      <c r="Z69" s="417">
        <v>0</v>
      </c>
      <c r="AA69" s="82">
        <v>0</v>
      </c>
      <c r="AB69" s="82" t="s">
        <v>846</v>
      </c>
      <c r="AC69" s="417">
        <v>0</v>
      </c>
      <c r="AD69" s="328">
        <v>0</v>
      </c>
      <c r="AE69" s="328" t="s">
        <v>889</v>
      </c>
      <c r="AF69" s="417">
        <v>1</v>
      </c>
      <c r="AG69" s="138">
        <v>1</v>
      </c>
      <c r="AH69" s="157" t="s">
        <v>890</v>
      </c>
      <c r="AI69" s="417">
        <v>0</v>
      </c>
      <c r="AJ69" s="417">
        <v>0</v>
      </c>
      <c r="AK69" s="417" t="s">
        <v>891</v>
      </c>
      <c r="AL69" s="417">
        <v>0</v>
      </c>
      <c r="AM69" s="417"/>
      <c r="AN69" s="417"/>
      <c r="AO69" s="417">
        <v>0</v>
      </c>
      <c r="AP69" s="417"/>
      <c r="AQ69" s="417"/>
      <c r="AR69" s="417">
        <v>0</v>
      </c>
      <c r="AS69" s="417"/>
      <c r="AT69" s="417"/>
      <c r="AU69" s="417">
        <v>0</v>
      </c>
      <c r="AV69" s="417"/>
      <c r="AW69" s="417"/>
      <c r="AX69" s="417">
        <v>0</v>
      </c>
      <c r="AY69" s="417"/>
      <c r="AZ69" s="417"/>
      <c r="BA69" s="417">
        <v>0</v>
      </c>
      <c r="BB69" s="41"/>
      <c r="BC69" s="41"/>
      <c r="BD69" s="413">
        <f t="shared" si="2"/>
        <v>1</v>
      </c>
      <c r="BE69" s="413">
        <f t="shared" si="3"/>
        <v>1</v>
      </c>
      <c r="BF69" s="68">
        <f t="shared" si="4"/>
        <v>1</v>
      </c>
    </row>
    <row r="70" spans="2:59" s="2" customFormat="1" ht="60.75" hidden="1" customHeight="1">
      <c r="B70" s="44" t="s">
        <v>125</v>
      </c>
      <c r="C70" s="27" t="s">
        <v>892</v>
      </c>
      <c r="D70" s="669"/>
      <c r="E70" s="648"/>
      <c r="F70" s="671"/>
      <c r="G70" s="417" t="s">
        <v>893</v>
      </c>
      <c r="H70" s="417" t="s">
        <v>531</v>
      </c>
      <c r="I70" s="417">
        <v>0.05</v>
      </c>
      <c r="J70" s="417" t="s">
        <v>841</v>
      </c>
      <c r="K70" s="417" t="s">
        <v>73</v>
      </c>
      <c r="L70" s="417" t="s">
        <v>127</v>
      </c>
      <c r="M70" s="417" t="s">
        <v>882</v>
      </c>
      <c r="N70" s="417" t="s">
        <v>776</v>
      </c>
      <c r="O70" s="40">
        <v>44197</v>
      </c>
      <c r="P70" s="40">
        <v>44561</v>
      </c>
      <c r="Q70" s="417">
        <f t="shared" si="1"/>
        <v>0</v>
      </c>
      <c r="R70" s="417">
        <v>1</v>
      </c>
      <c r="S70" s="41">
        <f t="shared" si="0"/>
        <v>1</v>
      </c>
      <c r="T70" s="417">
        <v>0</v>
      </c>
      <c r="U70" s="417">
        <v>0</v>
      </c>
      <c r="V70" s="417" t="s">
        <v>894</v>
      </c>
      <c r="W70" s="417">
        <v>0</v>
      </c>
      <c r="X70" s="417">
        <v>0</v>
      </c>
      <c r="Y70" s="417" t="s">
        <v>894</v>
      </c>
      <c r="Z70" s="417">
        <v>0</v>
      </c>
      <c r="AA70" s="82">
        <v>0</v>
      </c>
      <c r="AB70" s="82" t="s">
        <v>846</v>
      </c>
      <c r="AC70" s="417">
        <v>0</v>
      </c>
      <c r="AD70" s="328">
        <v>0</v>
      </c>
      <c r="AE70" s="328" t="s">
        <v>846</v>
      </c>
      <c r="AF70" s="417">
        <v>0</v>
      </c>
      <c r="AG70" s="138">
        <v>0</v>
      </c>
      <c r="AH70" s="157" t="s">
        <v>846</v>
      </c>
      <c r="AI70" s="417">
        <v>0</v>
      </c>
      <c r="AJ70" s="417">
        <v>0</v>
      </c>
      <c r="AK70" s="417" t="s">
        <v>895</v>
      </c>
      <c r="AL70" s="417">
        <v>0</v>
      </c>
      <c r="AM70" s="417"/>
      <c r="AN70" s="417"/>
      <c r="AO70" s="417">
        <v>1</v>
      </c>
      <c r="AP70" s="417"/>
      <c r="AQ70" s="417"/>
      <c r="AR70" s="417">
        <v>0</v>
      </c>
      <c r="AS70" s="417"/>
      <c r="AT70" s="417"/>
      <c r="AU70" s="417">
        <v>0</v>
      </c>
      <c r="AV70" s="417"/>
      <c r="AW70" s="417"/>
      <c r="AX70" s="417">
        <v>0</v>
      </c>
      <c r="AY70" s="417"/>
      <c r="AZ70" s="417"/>
      <c r="BA70" s="417">
        <v>0</v>
      </c>
      <c r="BB70" s="41"/>
      <c r="BC70" s="41"/>
      <c r="BD70" s="413">
        <f t="shared" si="2"/>
        <v>0</v>
      </c>
      <c r="BE70" s="413">
        <f t="shared" si="3"/>
        <v>0</v>
      </c>
      <c r="BF70" s="68" t="str">
        <f t="shared" si="4"/>
        <v>No programación, No avance</v>
      </c>
    </row>
    <row r="71" spans="2:59" s="2" customFormat="1" ht="60.75" hidden="1" customHeight="1">
      <c r="B71" s="44" t="s">
        <v>125</v>
      </c>
      <c r="C71" s="27" t="s">
        <v>896</v>
      </c>
      <c r="D71" s="669"/>
      <c r="E71" s="648"/>
      <c r="F71" s="671"/>
      <c r="G71" s="417" t="s">
        <v>897</v>
      </c>
      <c r="H71" s="417" t="s">
        <v>531</v>
      </c>
      <c r="I71" s="417">
        <v>0.05</v>
      </c>
      <c r="J71" s="417" t="s">
        <v>841</v>
      </c>
      <c r="K71" s="417" t="s">
        <v>73</v>
      </c>
      <c r="L71" s="417" t="s">
        <v>873</v>
      </c>
      <c r="M71" s="417" t="s">
        <v>127</v>
      </c>
      <c r="N71" s="417" t="s">
        <v>776</v>
      </c>
      <c r="O71" s="40">
        <v>44197</v>
      </c>
      <c r="P71" s="40">
        <v>44561</v>
      </c>
      <c r="Q71" s="417">
        <f t="shared" si="1"/>
        <v>0</v>
      </c>
      <c r="R71" s="417">
        <v>1</v>
      </c>
      <c r="S71" s="41">
        <f t="shared" si="0"/>
        <v>1</v>
      </c>
      <c r="T71" s="417">
        <v>0</v>
      </c>
      <c r="U71" s="417">
        <v>0</v>
      </c>
      <c r="V71" s="417" t="s">
        <v>898</v>
      </c>
      <c r="W71" s="417">
        <v>0</v>
      </c>
      <c r="X71" s="417">
        <v>0</v>
      </c>
      <c r="Y71" s="417" t="s">
        <v>898</v>
      </c>
      <c r="Z71" s="417">
        <v>0</v>
      </c>
      <c r="AA71" s="82">
        <v>0</v>
      </c>
      <c r="AB71" s="82" t="s">
        <v>846</v>
      </c>
      <c r="AC71" s="417">
        <v>0</v>
      </c>
      <c r="AD71" s="328">
        <v>0</v>
      </c>
      <c r="AE71" s="328" t="s">
        <v>846</v>
      </c>
      <c r="AF71" s="417">
        <v>0</v>
      </c>
      <c r="AG71" s="138">
        <v>0</v>
      </c>
      <c r="AH71" s="157" t="s">
        <v>846</v>
      </c>
      <c r="AI71" s="417">
        <v>0</v>
      </c>
      <c r="AJ71" s="417">
        <v>0</v>
      </c>
      <c r="AK71" s="417" t="s">
        <v>899</v>
      </c>
      <c r="AL71" s="417">
        <v>0</v>
      </c>
      <c r="AM71" s="417"/>
      <c r="AN71" s="417"/>
      <c r="AO71" s="417">
        <v>0</v>
      </c>
      <c r="AP71" s="417"/>
      <c r="AQ71" s="417"/>
      <c r="AR71" s="417">
        <v>1</v>
      </c>
      <c r="AS71" s="417"/>
      <c r="AT71" s="417"/>
      <c r="AU71" s="417">
        <v>0</v>
      </c>
      <c r="AV71" s="417"/>
      <c r="AW71" s="417"/>
      <c r="AX71" s="417">
        <v>0</v>
      </c>
      <c r="AY71" s="417"/>
      <c r="AZ71" s="417"/>
      <c r="BA71" s="417">
        <v>0</v>
      </c>
      <c r="BB71" s="41"/>
      <c r="BC71" s="41"/>
      <c r="BD71" s="413">
        <f t="shared" ref="BD71:BD112" si="6">+T71+W71+Z71+AC71+AF71+AI71</f>
        <v>0</v>
      </c>
      <c r="BE71" s="413">
        <f t="shared" ref="BE71:BE112" si="7">+U71+X71+AA71+AD71+AG71+AJ71</f>
        <v>0</v>
      </c>
      <c r="BF71" s="68" t="str">
        <f t="shared" si="4"/>
        <v>No programación, No avance</v>
      </c>
    </row>
    <row r="72" spans="2:59" s="2" customFormat="1" ht="60.75" hidden="1" customHeight="1">
      <c r="B72" s="44" t="s">
        <v>125</v>
      </c>
      <c r="C72" s="27" t="s">
        <v>900</v>
      </c>
      <c r="D72" s="669"/>
      <c r="E72" s="648"/>
      <c r="F72" s="671"/>
      <c r="G72" s="417" t="s">
        <v>901</v>
      </c>
      <c r="H72" s="417" t="s">
        <v>472</v>
      </c>
      <c r="I72" s="417">
        <v>0.05</v>
      </c>
      <c r="J72" s="417" t="s">
        <v>841</v>
      </c>
      <c r="K72" s="417" t="s">
        <v>73</v>
      </c>
      <c r="L72" s="417" t="s">
        <v>902</v>
      </c>
      <c r="M72" s="417" t="s">
        <v>903</v>
      </c>
      <c r="N72" s="417" t="s">
        <v>776</v>
      </c>
      <c r="O72" s="40">
        <v>44197</v>
      </c>
      <c r="P72" s="40">
        <v>44561</v>
      </c>
      <c r="Q72" s="417">
        <f t="shared" si="1"/>
        <v>1</v>
      </c>
      <c r="R72" s="417">
        <v>1</v>
      </c>
      <c r="S72" s="41">
        <f t="shared" si="0"/>
        <v>1</v>
      </c>
      <c r="T72" s="417">
        <v>0</v>
      </c>
      <c r="U72" s="417">
        <v>0</v>
      </c>
      <c r="V72" s="417" t="s">
        <v>113</v>
      </c>
      <c r="W72" s="417">
        <v>0</v>
      </c>
      <c r="X72" s="417">
        <v>1</v>
      </c>
      <c r="Y72" s="417" t="s">
        <v>904</v>
      </c>
      <c r="Z72" s="417">
        <v>0</v>
      </c>
      <c r="AA72" s="82">
        <v>0</v>
      </c>
      <c r="AB72" s="82" t="s">
        <v>905</v>
      </c>
      <c r="AC72" s="417">
        <v>1</v>
      </c>
      <c r="AD72" s="328">
        <v>0</v>
      </c>
      <c r="AE72" s="328" t="s">
        <v>905</v>
      </c>
      <c r="AF72" s="417">
        <v>0</v>
      </c>
      <c r="AG72" s="138">
        <v>0</v>
      </c>
      <c r="AH72" s="157" t="s">
        <v>905</v>
      </c>
      <c r="AI72" s="417">
        <v>0</v>
      </c>
      <c r="AJ72" s="417">
        <v>0</v>
      </c>
      <c r="AK72" s="417" t="s">
        <v>604</v>
      </c>
      <c r="AL72" s="417">
        <v>0</v>
      </c>
      <c r="AM72" s="417"/>
      <c r="AN72" s="417"/>
      <c r="AO72" s="417">
        <v>0</v>
      </c>
      <c r="AP72" s="417"/>
      <c r="AQ72" s="417"/>
      <c r="AR72" s="417">
        <v>0</v>
      </c>
      <c r="AS72" s="417"/>
      <c r="AT72" s="417"/>
      <c r="AU72" s="417">
        <v>0</v>
      </c>
      <c r="AV72" s="417"/>
      <c r="AW72" s="417"/>
      <c r="AX72" s="417">
        <v>0</v>
      </c>
      <c r="AY72" s="417"/>
      <c r="AZ72" s="417"/>
      <c r="BA72" s="417">
        <v>0</v>
      </c>
      <c r="BB72" s="41"/>
      <c r="BC72" s="41"/>
      <c r="BD72" s="413">
        <f t="shared" si="6"/>
        <v>1</v>
      </c>
      <c r="BE72" s="413">
        <f t="shared" si="7"/>
        <v>1</v>
      </c>
      <c r="BF72" s="68">
        <f t="shared" si="4"/>
        <v>1</v>
      </c>
      <c r="BG72" s="47"/>
    </row>
    <row r="73" spans="2:59" s="2" customFormat="1" ht="60.75" hidden="1" customHeight="1">
      <c r="B73" s="44" t="s">
        <v>125</v>
      </c>
      <c r="C73" s="27" t="s">
        <v>906</v>
      </c>
      <c r="D73" s="669"/>
      <c r="E73" s="648"/>
      <c r="F73" s="671"/>
      <c r="G73" s="417" t="s">
        <v>907</v>
      </c>
      <c r="H73" s="417" t="s">
        <v>472</v>
      </c>
      <c r="I73" s="417">
        <v>0.15</v>
      </c>
      <c r="J73" s="417" t="s">
        <v>841</v>
      </c>
      <c r="K73" s="417" t="s">
        <v>73</v>
      </c>
      <c r="L73" s="417" t="s">
        <v>902</v>
      </c>
      <c r="M73" s="417" t="s">
        <v>903</v>
      </c>
      <c r="N73" s="417" t="s">
        <v>776</v>
      </c>
      <c r="O73" s="40">
        <v>44197</v>
      </c>
      <c r="P73" s="40">
        <v>44561</v>
      </c>
      <c r="Q73" s="417">
        <f t="shared" si="1"/>
        <v>1</v>
      </c>
      <c r="R73" s="417">
        <v>1</v>
      </c>
      <c r="S73" s="41">
        <f t="shared" si="0"/>
        <v>1</v>
      </c>
      <c r="T73" s="417">
        <v>0</v>
      </c>
      <c r="U73" s="417">
        <v>0</v>
      </c>
      <c r="V73" s="417" t="s">
        <v>113</v>
      </c>
      <c r="W73" s="417">
        <v>0</v>
      </c>
      <c r="X73" s="417">
        <v>0</v>
      </c>
      <c r="Y73" s="417" t="s">
        <v>908</v>
      </c>
      <c r="Z73" s="417">
        <v>1</v>
      </c>
      <c r="AA73" s="82">
        <v>1</v>
      </c>
      <c r="AB73" s="82" t="s">
        <v>909</v>
      </c>
      <c r="AC73" s="417">
        <v>0</v>
      </c>
      <c r="AD73" s="328">
        <v>0</v>
      </c>
      <c r="AE73" s="328" t="s">
        <v>910</v>
      </c>
      <c r="AF73" s="417">
        <v>0</v>
      </c>
      <c r="AG73" s="138">
        <v>0</v>
      </c>
      <c r="AH73" s="157" t="s">
        <v>911</v>
      </c>
      <c r="AI73" s="417">
        <v>0</v>
      </c>
      <c r="AJ73" s="417">
        <v>0</v>
      </c>
      <c r="AK73" s="417" t="s">
        <v>912</v>
      </c>
      <c r="AL73" s="417">
        <v>0</v>
      </c>
      <c r="AM73" s="417"/>
      <c r="AN73" s="417"/>
      <c r="AO73" s="417">
        <v>0</v>
      </c>
      <c r="AP73" s="417"/>
      <c r="AQ73" s="417"/>
      <c r="AR73" s="417">
        <v>0</v>
      </c>
      <c r="AS73" s="417"/>
      <c r="AT73" s="417"/>
      <c r="AU73" s="417">
        <v>0</v>
      </c>
      <c r="AV73" s="417"/>
      <c r="AW73" s="417"/>
      <c r="AX73" s="417">
        <v>0</v>
      </c>
      <c r="AY73" s="417"/>
      <c r="AZ73" s="417"/>
      <c r="BA73" s="417">
        <v>0</v>
      </c>
      <c r="BB73" s="41"/>
      <c r="BC73" s="41"/>
      <c r="BD73" s="413">
        <f t="shared" si="6"/>
        <v>1</v>
      </c>
      <c r="BE73" s="413">
        <f t="shared" si="7"/>
        <v>1</v>
      </c>
      <c r="BF73" s="68">
        <f t="shared" si="4"/>
        <v>1</v>
      </c>
      <c r="BG73" s="47"/>
    </row>
    <row r="74" spans="2:59" s="2" customFormat="1" ht="60.75" hidden="1" customHeight="1">
      <c r="B74" s="44" t="s">
        <v>125</v>
      </c>
      <c r="C74" s="27" t="s">
        <v>913</v>
      </c>
      <c r="D74" s="669"/>
      <c r="E74" s="648"/>
      <c r="F74" s="671"/>
      <c r="G74" s="417" t="s">
        <v>914</v>
      </c>
      <c r="H74" s="417" t="s">
        <v>472</v>
      </c>
      <c r="I74" s="417">
        <v>0.05</v>
      </c>
      <c r="J74" s="417" t="s">
        <v>841</v>
      </c>
      <c r="K74" s="417" t="s">
        <v>73</v>
      </c>
      <c r="L74" s="417" t="s">
        <v>902</v>
      </c>
      <c r="M74" s="417" t="s">
        <v>915</v>
      </c>
      <c r="N74" s="417" t="s">
        <v>776</v>
      </c>
      <c r="O74" s="40">
        <v>44197</v>
      </c>
      <c r="P74" s="40">
        <v>44561</v>
      </c>
      <c r="Q74" s="417">
        <f t="shared" si="1"/>
        <v>0.4</v>
      </c>
      <c r="R74" s="417">
        <v>15</v>
      </c>
      <c r="S74" s="41">
        <f t="shared" si="0"/>
        <v>8.4666666666666668</v>
      </c>
      <c r="T74" s="417">
        <v>0</v>
      </c>
      <c r="U74" s="417">
        <v>0</v>
      </c>
      <c r="V74" s="417" t="s">
        <v>113</v>
      </c>
      <c r="W74" s="417">
        <v>0</v>
      </c>
      <c r="X74" s="417">
        <v>0</v>
      </c>
      <c r="Y74" s="417" t="s">
        <v>113</v>
      </c>
      <c r="Z74" s="417">
        <f>1/15</f>
        <v>6.6666666666666666E-2</v>
      </c>
      <c r="AA74" s="82">
        <f>+(1/1)*Z74</f>
        <v>6.6666666666666666E-2</v>
      </c>
      <c r="AB74" s="82" t="s">
        <v>916</v>
      </c>
      <c r="AC74" s="417">
        <f>2/15</f>
        <v>0.13333333333333333</v>
      </c>
      <c r="AD74" s="328">
        <f>+(2/2)*AC74</f>
        <v>0.13333333333333333</v>
      </c>
      <c r="AE74" s="328" t="s">
        <v>917</v>
      </c>
      <c r="AF74" s="417">
        <f>2/15</f>
        <v>0.13333333333333333</v>
      </c>
      <c r="AG74" s="138">
        <v>0</v>
      </c>
      <c r="AH74" s="157" t="s">
        <v>918</v>
      </c>
      <c r="AI74" s="417">
        <f>2/R74</f>
        <v>0.13333333333333333</v>
      </c>
      <c r="AJ74" s="417">
        <f>+(3/2)*AI74</f>
        <v>0.2</v>
      </c>
      <c r="AK74" s="417" t="s">
        <v>919</v>
      </c>
      <c r="AL74" s="417">
        <v>3</v>
      </c>
      <c r="AM74" s="417"/>
      <c r="AN74" s="417"/>
      <c r="AO74" s="417">
        <v>1</v>
      </c>
      <c r="AP74" s="417"/>
      <c r="AQ74" s="417"/>
      <c r="AR74" s="417">
        <v>1</v>
      </c>
      <c r="AS74" s="417"/>
      <c r="AT74" s="417"/>
      <c r="AU74" s="417">
        <v>1</v>
      </c>
      <c r="AV74" s="417"/>
      <c r="AW74" s="417"/>
      <c r="AX74" s="417">
        <v>1</v>
      </c>
      <c r="AY74" s="417"/>
      <c r="AZ74" s="417"/>
      <c r="BA74" s="417">
        <v>1</v>
      </c>
      <c r="BB74" s="41"/>
      <c r="BC74" s="41"/>
      <c r="BD74" s="413">
        <f t="shared" si="6"/>
        <v>0.46666666666666667</v>
      </c>
      <c r="BE74" s="413">
        <f t="shared" si="7"/>
        <v>0.4</v>
      </c>
      <c r="BF74" s="68">
        <f t="shared" si="4"/>
        <v>0.85714285714285721</v>
      </c>
    </row>
    <row r="75" spans="2:59" s="2" customFormat="1" ht="60.75" hidden="1" customHeight="1">
      <c r="B75" s="44" t="s">
        <v>125</v>
      </c>
      <c r="C75" s="27" t="s">
        <v>920</v>
      </c>
      <c r="D75" s="669"/>
      <c r="E75" s="648"/>
      <c r="F75" s="671"/>
      <c r="G75" s="417" t="s">
        <v>921</v>
      </c>
      <c r="H75" s="417" t="s">
        <v>472</v>
      </c>
      <c r="I75" s="417">
        <v>0.05</v>
      </c>
      <c r="J75" s="417" t="s">
        <v>841</v>
      </c>
      <c r="K75" s="417" t="s">
        <v>73</v>
      </c>
      <c r="L75" s="417" t="s">
        <v>902</v>
      </c>
      <c r="M75" s="417" t="s">
        <v>922</v>
      </c>
      <c r="N75" s="417" t="s">
        <v>776</v>
      </c>
      <c r="O75" s="40">
        <v>44197</v>
      </c>
      <c r="P75" s="40">
        <v>44561</v>
      </c>
      <c r="Q75" s="417">
        <f t="shared" si="1"/>
        <v>0.5</v>
      </c>
      <c r="R75" s="417">
        <v>6</v>
      </c>
      <c r="S75" s="41">
        <f t="shared" ref="S75:S141" si="8">+T75+W75+Z75+AC75+AF75+AI75+AL75+AO75+AR75+AU75+AX75+BA75</f>
        <v>5.166666666666667</v>
      </c>
      <c r="T75" s="417">
        <v>0</v>
      </c>
      <c r="U75" s="417">
        <v>0</v>
      </c>
      <c r="V75" s="417" t="s">
        <v>894</v>
      </c>
      <c r="W75" s="417">
        <v>0</v>
      </c>
      <c r="X75" s="417">
        <v>0</v>
      </c>
      <c r="Y75" s="417" t="s">
        <v>894</v>
      </c>
      <c r="Z75" s="417">
        <v>0</v>
      </c>
      <c r="AA75" s="82">
        <v>0</v>
      </c>
      <c r="AB75" s="82" t="s">
        <v>846</v>
      </c>
      <c r="AC75" s="417">
        <v>0</v>
      </c>
      <c r="AD75" s="328">
        <v>0</v>
      </c>
      <c r="AE75" s="328" t="s">
        <v>923</v>
      </c>
      <c r="AF75" s="417">
        <v>0</v>
      </c>
      <c r="AG75" s="138">
        <v>0</v>
      </c>
      <c r="AH75" s="157" t="s">
        <v>846</v>
      </c>
      <c r="AI75" s="417">
        <f>1/R75</f>
        <v>0.16666666666666666</v>
      </c>
      <c r="AJ75" s="417">
        <f>+(3/1)*AI75</f>
        <v>0.5</v>
      </c>
      <c r="AK75" s="417" t="s">
        <v>924</v>
      </c>
      <c r="AL75" s="417">
        <v>1</v>
      </c>
      <c r="AM75" s="417"/>
      <c r="AN75" s="417"/>
      <c r="AO75" s="417">
        <v>1</v>
      </c>
      <c r="AP75" s="417"/>
      <c r="AQ75" s="417"/>
      <c r="AR75" s="417">
        <v>1</v>
      </c>
      <c r="AS75" s="417"/>
      <c r="AT75" s="417"/>
      <c r="AU75" s="417">
        <v>1</v>
      </c>
      <c r="AV75" s="417"/>
      <c r="AW75" s="417"/>
      <c r="AX75" s="417">
        <v>1</v>
      </c>
      <c r="AY75" s="417"/>
      <c r="AZ75" s="417"/>
      <c r="BA75" s="417">
        <v>0</v>
      </c>
      <c r="BB75" s="41"/>
      <c r="BC75" s="41"/>
      <c r="BD75" s="413">
        <f t="shared" si="6"/>
        <v>0.16666666666666666</v>
      </c>
      <c r="BE75" s="413">
        <f t="shared" si="7"/>
        <v>0.5</v>
      </c>
      <c r="BF75" s="68">
        <f t="shared" si="4"/>
        <v>3</v>
      </c>
    </row>
    <row r="76" spans="2:59" s="2" customFormat="1" ht="60.75" hidden="1" customHeight="1">
      <c r="B76" s="44" t="s">
        <v>130</v>
      </c>
      <c r="C76" s="27" t="s">
        <v>925</v>
      </c>
      <c r="D76" s="669"/>
      <c r="E76" s="648" t="s">
        <v>111</v>
      </c>
      <c r="F76" s="648" t="s">
        <v>926</v>
      </c>
      <c r="G76" s="410" t="s">
        <v>927</v>
      </c>
      <c r="H76" s="410" t="s">
        <v>472</v>
      </c>
      <c r="I76" s="410">
        <v>0.1</v>
      </c>
      <c r="J76" s="410" t="s">
        <v>928</v>
      </c>
      <c r="K76" s="410" t="s">
        <v>73</v>
      </c>
      <c r="L76" s="410" t="s">
        <v>127</v>
      </c>
      <c r="M76" s="410" t="s">
        <v>929</v>
      </c>
      <c r="N76" s="410" t="s">
        <v>776</v>
      </c>
      <c r="O76" s="38">
        <v>44197</v>
      </c>
      <c r="P76" s="38">
        <v>44561</v>
      </c>
      <c r="Q76" s="410">
        <f t="shared" ref="Q76:Q142" si="9">+U76+X76+AA76+AD76+AG76+AJ76+AM76+AP76+AS76+AV76+AY76+BB76</f>
        <v>1</v>
      </c>
      <c r="R76" s="410">
        <v>1</v>
      </c>
      <c r="S76" s="413">
        <f t="shared" si="8"/>
        <v>1</v>
      </c>
      <c r="T76" s="410">
        <v>0</v>
      </c>
      <c r="U76" s="410">
        <v>0</v>
      </c>
      <c r="V76" s="410" t="s">
        <v>113</v>
      </c>
      <c r="W76" s="410">
        <v>0</v>
      </c>
      <c r="X76" s="410">
        <v>0</v>
      </c>
      <c r="Y76" s="410" t="s">
        <v>131</v>
      </c>
      <c r="Z76" s="410">
        <v>0</v>
      </c>
      <c r="AA76" s="51">
        <v>0</v>
      </c>
      <c r="AB76" s="51" t="s">
        <v>132</v>
      </c>
      <c r="AC76" s="410">
        <v>1</v>
      </c>
      <c r="AD76" s="30">
        <v>0</v>
      </c>
      <c r="AE76" s="30" t="s">
        <v>930</v>
      </c>
      <c r="AF76" s="410">
        <v>0</v>
      </c>
      <c r="AG76" s="262">
        <v>1</v>
      </c>
      <c r="AH76" s="185" t="s">
        <v>931</v>
      </c>
      <c r="AI76" s="410">
        <v>0</v>
      </c>
      <c r="AJ76" s="410">
        <v>0</v>
      </c>
      <c r="AK76" s="410" t="s">
        <v>932</v>
      </c>
      <c r="AL76" s="410">
        <v>0</v>
      </c>
      <c r="AM76" s="410"/>
      <c r="AN76" s="410"/>
      <c r="AO76" s="410">
        <v>0</v>
      </c>
      <c r="AP76" s="410"/>
      <c r="AQ76" s="410"/>
      <c r="AR76" s="410">
        <v>0</v>
      </c>
      <c r="AS76" s="410"/>
      <c r="AT76" s="410"/>
      <c r="AU76" s="410">
        <v>0</v>
      </c>
      <c r="AV76" s="410"/>
      <c r="AW76" s="410"/>
      <c r="AX76" s="410">
        <v>0</v>
      </c>
      <c r="AY76" s="410"/>
      <c r="AZ76" s="410"/>
      <c r="BA76" s="410">
        <v>0</v>
      </c>
      <c r="BB76" s="413"/>
      <c r="BC76" s="413"/>
      <c r="BD76" s="413">
        <f t="shared" si="6"/>
        <v>1</v>
      </c>
      <c r="BE76" s="413">
        <f t="shared" si="7"/>
        <v>1</v>
      </c>
      <c r="BF76" s="48">
        <f t="shared" ref="BF76:BF142" si="10">+IF(BD76=0,+IF(BE76=0,"No programación, No avance",+IF(BE76&gt;0,+IF(BD76=0,BE76/R76))),BE76/BD76)</f>
        <v>1</v>
      </c>
    </row>
    <row r="77" spans="2:59" s="2" customFormat="1" ht="60.75" hidden="1" customHeight="1">
      <c r="B77" s="44" t="s">
        <v>130</v>
      </c>
      <c r="C77" s="27" t="s">
        <v>933</v>
      </c>
      <c r="D77" s="669"/>
      <c r="E77" s="648"/>
      <c r="F77" s="648"/>
      <c r="G77" s="410" t="s">
        <v>934</v>
      </c>
      <c r="H77" s="410" t="s">
        <v>472</v>
      </c>
      <c r="I77" s="410">
        <v>0.2</v>
      </c>
      <c r="J77" s="410" t="s">
        <v>928</v>
      </c>
      <c r="K77" s="410" t="s">
        <v>73</v>
      </c>
      <c r="L77" s="410" t="s">
        <v>232</v>
      </c>
      <c r="M77" s="410" t="s">
        <v>935</v>
      </c>
      <c r="N77" s="410" t="s">
        <v>776</v>
      </c>
      <c r="O77" s="38">
        <v>44197</v>
      </c>
      <c r="P77" s="38">
        <v>44561</v>
      </c>
      <c r="Q77" s="410">
        <f t="shared" si="9"/>
        <v>6.6666666666666666E-2</v>
      </c>
      <c r="R77" s="410">
        <v>15</v>
      </c>
      <c r="S77" s="413">
        <f t="shared" si="8"/>
        <v>8.4666666666666668</v>
      </c>
      <c r="T77" s="410">
        <v>0</v>
      </c>
      <c r="U77" s="410">
        <v>0</v>
      </c>
      <c r="V77" s="410" t="s">
        <v>113</v>
      </c>
      <c r="W77" s="410">
        <v>0</v>
      </c>
      <c r="X77" s="410">
        <v>0</v>
      </c>
      <c r="Y77" s="410" t="s">
        <v>113</v>
      </c>
      <c r="Z77" s="410">
        <v>0</v>
      </c>
      <c r="AA77" s="51">
        <v>0</v>
      </c>
      <c r="AB77" s="51" t="s">
        <v>936</v>
      </c>
      <c r="AC77" s="410">
        <f>2/R77</f>
        <v>0.13333333333333333</v>
      </c>
      <c r="AD77" s="30">
        <v>0</v>
      </c>
      <c r="AE77" s="30" t="s">
        <v>937</v>
      </c>
      <c r="AF77" s="410">
        <f>2/R77</f>
        <v>0.13333333333333333</v>
      </c>
      <c r="AG77" s="262">
        <v>0</v>
      </c>
      <c r="AH77" s="185" t="s">
        <v>846</v>
      </c>
      <c r="AI77" s="410">
        <f>3/R77</f>
        <v>0.2</v>
      </c>
      <c r="AJ77" s="410">
        <f>+(1/3)*AI77</f>
        <v>6.6666666666666666E-2</v>
      </c>
      <c r="AK77" s="410" t="s">
        <v>938</v>
      </c>
      <c r="AL77" s="410">
        <v>3</v>
      </c>
      <c r="AM77" s="410"/>
      <c r="AN77" s="410"/>
      <c r="AO77" s="410">
        <v>5</v>
      </c>
      <c r="AP77" s="410"/>
      <c r="AQ77" s="410"/>
      <c r="AR77" s="410">
        <v>0</v>
      </c>
      <c r="AS77" s="410"/>
      <c r="AT77" s="410"/>
      <c r="AU77" s="410">
        <v>0</v>
      </c>
      <c r="AV77" s="410"/>
      <c r="AW77" s="410"/>
      <c r="AX77" s="410">
        <v>0</v>
      </c>
      <c r="AY77" s="410"/>
      <c r="AZ77" s="410"/>
      <c r="BA77" s="410">
        <v>0</v>
      </c>
      <c r="BB77" s="413"/>
      <c r="BC77" s="413"/>
      <c r="BD77" s="413">
        <f t="shared" si="6"/>
        <v>0.46666666666666667</v>
      </c>
      <c r="BE77" s="413">
        <f t="shared" si="7"/>
        <v>6.6666666666666666E-2</v>
      </c>
      <c r="BF77" s="48">
        <f t="shared" si="10"/>
        <v>0.14285714285714285</v>
      </c>
    </row>
    <row r="78" spans="2:59" s="2" customFormat="1" ht="60.75" hidden="1" customHeight="1">
      <c r="B78" s="44" t="s">
        <v>130</v>
      </c>
      <c r="C78" s="27" t="s">
        <v>939</v>
      </c>
      <c r="D78" s="669"/>
      <c r="E78" s="648"/>
      <c r="F78" s="648"/>
      <c r="G78" s="410" t="s">
        <v>940</v>
      </c>
      <c r="H78" s="410" t="s">
        <v>472</v>
      </c>
      <c r="I78" s="410">
        <v>0.2</v>
      </c>
      <c r="J78" s="410" t="s">
        <v>928</v>
      </c>
      <c r="K78" s="410" t="s">
        <v>73</v>
      </c>
      <c r="L78" s="410" t="s">
        <v>127</v>
      </c>
      <c r="M78" s="410" t="s">
        <v>941</v>
      </c>
      <c r="N78" s="410" t="s">
        <v>776</v>
      </c>
      <c r="O78" s="38">
        <v>44197</v>
      </c>
      <c r="P78" s="38">
        <v>44561</v>
      </c>
      <c r="Q78" s="410">
        <f t="shared" si="9"/>
        <v>0</v>
      </c>
      <c r="R78" s="410">
        <v>1</v>
      </c>
      <c r="S78" s="413">
        <f t="shared" si="8"/>
        <v>1</v>
      </c>
      <c r="T78" s="410">
        <v>0</v>
      </c>
      <c r="U78" s="410">
        <v>0</v>
      </c>
      <c r="V78" s="410" t="s">
        <v>113</v>
      </c>
      <c r="W78" s="410">
        <v>0</v>
      </c>
      <c r="X78" s="410">
        <v>0</v>
      </c>
      <c r="Y78" s="410" t="s">
        <v>113</v>
      </c>
      <c r="Z78" s="410">
        <v>0</v>
      </c>
      <c r="AA78" s="51">
        <v>0</v>
      </c>
      <c r="AB78" s="51" t="s">
        <v>942</v>
      </c>
      <c r="AC78" s="410">
        <v>0</v>
      </c>
      <c r="AD78" s="30">
        <v>0</v>
      </c>
      <c r="AE78" s="30" t="s">
        <v>846</v>
      </c>
      <c r="AF78" s="410">
        <v>0</v>
      </c>
      <c r="AG78" s="262">
        <v>0</v>
      </c>
      <c r="AH78" s="185" t="s">
        <v>846</v>
      </c>
      <c r="AI78" s="410">
        <v>0</v>
      </c>
      <c r="AJ78" s="410">
        <v>0</v>
      </c>
      <c r="AK78" s="410" t="s">
        <v>943</v>
      </c>
      <c r="AL78" s="410">
        <v>0</v>
      </c>
      <c r="AM78" s="410"/>
      <c r="AN78" s="410"/>
      <c r="AO78" s="410">
        <v>0</v>
      </c>
      <c r="AP78" s="410"/>
      <c r="AQ78" s="410"/>
      <c r="AR78" s="410">
        <v>1</v>
      </c>
      <c r="AS78" s="410"/>
      <c r="AT78" s="410"/>
      <c r="AU78" s="410">
        <v>0</v>
      </c>
      <c r="AV78" s="410"/>
      <c r="AW78" s="410"/>
      <c r="AX78" s="410">
        <v>0</v>
      </c>
      <c r="AY78" s="410"/>
      <c r="AZ78" s="410"/>
      <c r="BA78" s="410">
        <v>0</v>
      </c>
      <c r="BB78" s="413"/>
      <c r="BC78" s="413"/>
      <c r="BD78" s="413">
        <f t="shared" si="6"/>
        <v>0</v>
      </c>
      <c r="BE78" s="413">
        <f t="shared" si="7"/>
        <v>0</v>
      </c>
      <c r="BF78" s="48" t="str">
        <f t="shared" si="10"/>
        <v>No programación, No avance</v>
      </c>
    </row>
    <row r="79" spans="2:59" s="2" customFormat="1" ht="60.75" hidden="1" customHeight="1">
      <c r="B79" s="44" t="s">
        <v>130</v>
      </c>
      <c r="C79" s="27" t="s">
        <v>944</v>
      </c>
      <c r="D79" s="669"/>
      <c r="E79" s="648"/>
      <c r="F79" s="648"/>
      <c r="G79" s="410" t="s">
        <v>945</v>
      </c>
      <c r="H79" s="410" t="s">
        <v>472</v>
      </c>
      <c r="I79" s="410">
        <v>0.1</v>
      </c>
      <c r="J79" s="410" t="s">
        <v>928</v>
      </c>
      <c r="K79" s="410" t="s">
        <v>73</v>
      </c>
      <c r="L79" s="410" t="s">
        <v>903</v>
      </c>
      <c r="M79" s="410" t="s">
        <v>941</v>
      </c>
      <c r="N79" s="410" t="s">
        <v>776</v>
      </c>
      <c r="O79" s="38">
        <v>44197</v>
      </c>
      <c r="P79" s="38">
        <v>44561</v>
      </c>
      <c r="Q79" s="410">
        <f t="shared" si="9"/>
        <v>0</v>
      </c>
      <c r="R79" s="410">
        <v>15</v>
      </c>
      <c r="S79" s="413">
        <f t="shared" si="8"/>
        <v>15</v>
      </c>
      <c r="T79" s="410">
        <v>0</v>
      </c>
      <c r="U79" s="410">
        <v>0</v>
      </c>
      <c r="V79" s="410" t="s">
        <v>113</v>
      </c>
      <c r="W79" s="410">
        <v>0</v>
      </c>
      <c r="X79" s="410">
        <v>0</v>
      </c>
      <c r="Y79" s="410" t="s">
        <v>113</v>
      </c>
      <c r="Z79" s="410">
        <v>0</v>
      </c>
      <c r="AA79" s="51">
        <v>0</v>
      </c>
      <c r="AB79" s="51" t="s">
        <v>942</v>
      </c>
      <c r="AC79" s="410">
        <v>0</v>
      </c>
      <c r="AD79" s="30">
        <v>0</v>
      </c>
      <c r="AE79" s="30" t="s">
        <v>846</v>
      </c>
      <c r="AF79" s="410">
        <v>0</v>
      </c>
      <c r="AG79" s="262">
        <v>0</v>
      </c>
      <c r="AH79" s="185" t="s">
        <v>846</v>
      </c>
      <c r="AI79" s="410">
        <v>0</v>
      </c>
      <c r="AJ79" s="410">
        <v>0</v>
      </c>
      <c r="AK79" s="410" t="s">
        <v>943</v>
      </c>
      <c r="AL79" s="410">
        <v>0</v>
      </c>
      <c r="AM79" s="410"/>
      <c r="AN79" s="410"/>
      <c r="AO79" s="410">
        <v>0</v>
      </c>
      <c r="AP79" s="410"/>
      <c r="AQ79" s="410"/>
      <c r="AR79" s="410">
        <v>0</v>
      </c>
      <c r="AS79" s="410"/>
      <c r="AT79" s="410"/>
      <c r="AU79" s="410">
        <v>6</v>
      </c>
      <c r="AV79" s="410"/>
      <c r="AW79" s="410"/>
      <c r="AX79" s="410">
        <v>9</v>
      </c>
      <c r="AY79" s="410"/>
      <c r="AZ79" s="410"/>
      <c r="BA79" s="410">
        <v>0</v>
      </c>
      <c r="BB79" s="413"/>
      <c r="BC79" s="413"/>
      <c r="BD79" s="413">
        <f t="shared" si="6"/>
        <v>0</v>
      </c>
      <c r="BE79" s="413">
        <f t="shared" si="7"/>
        <v>0</v>
      </c>
      <c r="BF79" s="48" t="str">
        <f t="shared" si="10"/>
        <v>No programación, No avance</v>
      </c>
    </row>
    <row r="80" spans="2:59" s="2" customFormat="1" ht="60.75" hidden="1" customHeight="1">
      <c r="B80" s="44" t="s">
        <v>130</v>
      </c>
      <c r="C80" s="27" t="s">
        <v>946</v>
      </c>
      <c r="D80" s="669"/>
      <c r="E80" s="648"/>
      <c r="F80" s="648"/>
      <c r="G80" s="410" t="s">
        <v>947</v>
      </c>
      <c r="H80" s="410" t="s">
        <v>472</v>
      </c>
      <c r="I80" s="410">
        <v>0.1</v>
      </c>
      <c r="J80" s="410" t="s">
        <v>928</v>
      </c>
      <c r="K80" s="410" t="s">
        <v>73</v>
      </c>
      <c r="L80" s="410" t="s">
        <v>903</v>
      </c>
      <c r="M80" s="410" t="s">
        <v>941</v>
      </c>
      <c r="N80" s="410" t="s">
        <v>776</v>
      </c>
      <c r="O80" s="38">
        <v>44197</v>
      </c>
      <c r="P80" s="38">
        <v>44561</v>
      </c>
      <c r="Q80" s="410">
        <f t="shared" si="9"/>
        <v>0</v>
      </c>
      <c r="R80" s="410">
        <v>1</v>
      </c>
      <c r="S80" s="413">
        <f t="shared" si="8"/>
        <v>1</v>
      </c>
      <c r="T80" s="410">
        <v>0</v>
      </c>
      <c r="U80" s="410">
        <v>0</v>
      </c>
      <c r="V80" s="410" t="s">
        <v>113</v>
      </c>
      <c r="W80" s="410">
        <v>0</v>
      </c>
      <c r="X80" s="410">
        <v>0</v>
      </c>
      <c r="Y80" s="410" t="s">
        <v>113</v>
      </c>
      <c r="Z80" s="410">
        <v>0</v>
      </c>
      <c r="AA80" s="51">
        <v>0</v>
      </c>
      <c r="AB80" s="51" t="s">
        <v>942</v>
      </c>
      <c r="AC80" s="410">
        <v>0</v>
      </c>
      <c r="AD80" s="30">
        <v>0</v>
      </c>
      <c r="AE80" s="30" t="s">
        <v>948</v>
      </c>
      <c r="AF80" s="410">
        <v>0</v>
      </c>
      <c r="AG80" s="262">
        <v>0</v>
      </c>
      <c r="AH80" s="185" t="s">
        <v>846</v>
      </c>
      <c r="AI80" s="410">
        <v>0</v>
      </c>
      <c r="AJ80" s="410">
        <v>0</v>
      </c>
      <c r="AK80" s="410" t="s">
        <v>943</v>
      </c>
      <c r="AL80" s="410">
        <v>0</v>
      </c>
      <c r="AM80" s="410"/>
      <c r="AN80" s="410"/>
      <c r="AO80" s="410">
        <v>0</v>
      </c>
      <c r="AP80" s="410"/>
      <c r="AQ80" s="410"/>
      <c r="AR80" s="410">
        <v>0</v>
      </c>
      <c r="AS80" s="410"/>
      <c r="AT80" s="410"/>
      <c r="AU80" s="410">
        <v>0</v>
      </c>
      <c r="AV80" s="410"/>
      <c r="AW80" s="410"/>
      <c r="AX80" s="410">
        <v>0</v>
      </c>
      <c r="AY80" s="410"/>
      <c r="AZ80" s="410"/>
      <c r="BA80" s="410">
        <v>1</v>
      </c>
      <c r="BB80" s="413"/>
      <c r="BC80" s="413"/>
      <c r="BD80" s="413">
        <f t="shared" si="6"/>
        <v>0</v>
      </c>
      <c r="BE80" s="413">
        <f t="shared" si="7"/>
        <v>0</v>
      </c>
      <c r="BF80" s="48" t="str">
        <f t="shared" si="10"/>
        <v>No programación, No avance</v>
      </c>
    </row>
    <row r="81" spans="2:59" s="2" customFormat="1" ht="60.75" hidden="1" customHeight="1">
      <c r="B81" s="44" t="s">
        <v>130</v>
      </c>
      <c r="C81" s="27" t="s">
        <v>949</v>
      </c>
      <c r="D81" s="669"/>
      <c r="E81" s="648"/>
      <c r="F81" s="648"/>
      <c r="G81" s="410" t="s">
        <v>950</v>
      </c>
      <c r="H81" s="410" t="s">
        <v>472</v>
      </c>
      <c r="I81" s="410">
        <v>0.2</v>
      </c>
      <c r="J81" s="410" t="s">
        <v>928</v>
      </c>
      <c r="K81" s="410" t="s">
        <v>73</v>
      </c>
      <c r="L81" s="410" t="s">
        <v>127</v>
      </c>
      <c r="M81" s="410" t="s">
        <v>929</v>
      </c>
      <c r="N81" s="410" t="s">
        <v>776</v>
      </c>
      <c r="O81" s="38">
        <v>44197</v>
      </c>
      <c r="P81" s="38">
        <v>44561</v>
      </c>
      <c r="Q81" s="410">
        <f t="shared" si="9"/>
        <v>0</v>
      </c>
      <c r="R81" s="410">
        <v>10</v>
      </c>
      <c r="S81" s="413">
        <f t="shared" si="8"/>
        <v>1</v>
      </c>
      <c r="T81" s="410">
        <v>0</v>
      </c>
      <c r="U81" s="410">
        <v>0</v>
      </c>
      <c r="V81" s="410" t="s">
        <v>113</v>
      </c>
      <c r="W81" s="410">
        <v>0</v>
      </c>
      <c r="X81" s="410">
        <v>0</v>
      </c>
      <c r="Y81" s="410" t="s">
        <v>951</v>
      </c>
      <c r="Z81" s="410">
        <v>0</v>
      </c>
      <c r="AA81" s="51">
        <v>0</v>
      </c>
      <c r="AB81" s="51" t="s">
        <v>952</v>
      </c>
      <c r="AC81" s="410">
        <f>10/R81</f>
        <v>1</v>
      </c>
      <c r="AD81" s="30">
        <v>0</v>
      </c>
      <c r="AE81" s="30" t="s">
        <v>953</v>
      </c>
      <c r="AF81" s="410">
        <v>0</v>
      </c>
      <c r="AG81" s="262">
        <v>0</v>
      </c>
      <c r="AH81" s="185" t="s">
        <v>846</v>
      </c>
      <c r="AI81" s="410">
        <v>0</v>
      </c>
      <c r="AJ81" s="410">
        <v>0</v>
      </c>
      <c r="AK81" s="410" t="s">
        <v>943</v>
      </c>
      <c r="AL81" s="410">
        <v>0</v>
      </c>
      <c r="AM81" s="410"/>
      <c r="AN81" s="410"/>
      <c r="AO81" s="410">
        <v>0</v>
      </c>
      <c r="AP81" s="410"/>
      <c r="AQ81" s="410"/>
      <c r="AR81" s="410">
        <v>0</v>
      </c>
      <c r="AS81" s="410"/>
      <c r="AT81" s="410"/>
      <c r="AU81" s="410">
        <v>0</v>
      </c>
      <c r="AV81" s="410"/>
      <c r="AW81" s="410"/>
      <c r="AX81" s="410">
        <v>0</v>
      </c>
      <c r="AY81" s="410"/>
      <c r="AZ81" s="410"/>
      <c r="BA81" s="410">
        <v>0</v>
      </c>
      <c r="BB81" s="413"/>
      <c r="BC81" s="413"/>
      <c r="BD81" s="413">
        <f t="shared" si="6"/>
        <v>1</v>
      </c>
      <c r="BE81" s="413">
        <f t="shared" si="7"/>
        <v>0</v>
      </c>
      <c r="BF81" s="48">
        <f t="shared" si="10"/>
        <v>0</v>
      </c>
    </row>
    <row r="82" spans="2:59" s="2" customFormat="1" ht="60.75" hidden="1" customHeight="1">
      <c r="B82" s="44" t="s">
        <v>130</v>
      </c>
      <c r="C82" s="27" t="s">
        <v>954</v>
      </c>
      <c r="D82" s="669"/>
      <c r="E82" s="648"/>
      <c r="F82" s="648"/>
      <c r="G82" s="410" t="s">
        <v>955</v>
      </c>
      <c r="H82" s="410" t="s">
        <v>472</v>
      </c>
      <c r="I82" s="410">
        <v>0.1</v>
      </c>
      <c r="J82" s="410" t="s">
        <v>928</v>
      </c>
      <c r="K82" s="410" t="s">
        <v>73</v>
      </c>
      <c r="L82" s="410" t="s">
        <v>127</v>
      </c>
      <c r="M82" s="410" t="s">
        <v>935</v>
      </c>
      <c r="N82" s="410" t="s">
        <v>776</v>
      </c>
      <c r="O82" s="38">
        <v>44197</v>
      </c>
      <c r="P82" s="38">
        <v>44561</v>
      </c>
      <c r="Q82" s="410">
        <f t="shared" si="9"/>
        <v>0</v>
      </c>
      <c r="R82" s="410">
        <v>30</v>
      </c>
      <c r="S82" s="413">
        <f t="shared" si="8"/>
        <v>20.333333333333336</v>
      </c>
      <c r="T82" s="410">
        <v>0</v>
      </c>
      <c r="U82" s="410">
        <v>0</v>
      </c>
      <c r="V82" s="410" t="s">
        <v>113</v>
      </c>
      <c r="W82" s="410">
        <v>0</v>
      </c>
      <c r="X82" s="410">
        <v>0</v>
      </c>
      <c r="Y82" s="410" t="s">
        <v>113</v>
      </c>
      <c r="Z82" s="410">
        <f>2/30</f>
        <v>6.6666666666666666E-2</v>
      </c>
      <c r="AA82" s="51">
        <v>0</v>
      </c>
      <c r="AB82" s="51" t="s">
        <v>942</v>
      </c>
      <c r="AC82" s="410">
        <f>2/30</f>
        <v>6.6666666666666666E-2</v>
      </c>
      <c r="AD82" s="30">
        <v>0</v>
      </c>
      <c r="AE82" s="30" t="s">
        <v>846</v>
      </c>
      <c r="AF82" s="410">
        <f>3/30</f>
        <v>0.1</v>
      </c>
      <c r="AG82" s="262">
        <v>0</v>
      </c>
      <c r="AH82" s="185" t="s">
        <v>846</v>
      </c>
      <c r="AI82" s="410">
        <f>3/R82</f>
        <v>0.1</v>
      </c>
      <c r="AJ82" s="410">
        <v>0</v>
      </c>
      <c r="AK82" s="410" t="s">
        <v>956</v>
      </c>
      <c r="AL82" s="410">
        <v>3</v>
      </c>
      <c r="AM82" s="410"/>
      <c r="AN82" s="410"/>
      <c r="AO82" s="410">
        <v>3</v>
      </c>
      <c r="AP82" s="410"/>
      <c r="AQ82" s="410"/>
      <c r="AR82" s="410">
        <v>4</v>
      </c>
      <c r="AS82" s="410"/>
      <c r="AT82" s="410"/>
      <c r="AU82" s="410">
        <v>4</v>
      </c>
      <c r="AV82" s="410"/>
      <c r="AW82" s="410"/>
      <c r="AX82" s="410">
        <v>3</v>
      </c>
      <c r="AY82" s="410"/>
      <c r="AZ82" s="410"/>
      <c r="BA82" s="410">
        <v>3</v>
      </c>
      <c r="BB82" s="413"/>
      <c r="BC82" s="413"/>
      <c r="BD82" s="413">
        <f t="shared" si="6"/>
        <v>0.33333333333333337</v>
      </c>
      <c r="BE82" s="413">
        <f t="shared" si="7"/>
        <v>0</v>
      </c>
      <c r="BF82" s="48">
        <f t="shared" si="10"/>
        <v>0</v>
      </c>
    </row>
    <row r="83" spans="2:59" s="2" customFormat="1" ht="60.75" customHeight="1">
      <c r="B83" s="44" t="s">
        <v>133</v>
      </c>
      <c r="C83" s="27" t="s">
        <v>957</v>
      </c>
      <c r="D83" s="669"/>
      <c r="E83" s="648" t="s">
        <v>134</v>
      </c>
      <c r="F83" s="648" t="s">
        <v>958</v>
      </c>
      <c r="G83" s="410" t="s">
        <v>959</v>
      </c>
      <c r="H83" s="410" t="s">
        <v>472</v>
      </c>
      <c r="I83" s="410">
        <v>0.15</v>
      </c>
      <c r="J83" s="410" t="s">
        <v>137</v>
      </c>
      <c r="K83" s="410" t="s">
        <v>73</v>
      </c>
      <c r="L83" s="410" t="s">
        <v>72</v>
      </c>
      <c r="M83" s="410" t="s">
        <v>960</v>
      </c>
      <c r="N83" s="410" t="s">
        <v>776</v>
      </c>
      <c r="O83" s="38">
        <v>44197</v>
      </c>
      <c r="P83" s="38">
        <v>44561</v>
      </c>
      <c r="Q83" s="410">
        <f t="shared" si="9"/>
        <v>1.6</v>
      </c>
      <c r="R83" s="410">
        <v>5</v>
      </c>
      <c r="S83" s="413">
        <f t="shared" si="8"/>
        <v>1</v>
      </c>
      <c r="T83" s="410">
        <v>0</v>
      </c>
      <c r="U83" s="410">
        <v>0</v>
      </c>
      <c r="V83" s="410" t="s">
        <v>113</v>
      </c>
      <c r="W83" s="410">
        <f>2/5</f>
        <v>0.4</v>
      </c>
      <c r="X83" s="410">
        <f>+(4/2)*W83</f>
        <v>0.8</v>
      </c>
      <c r="Y83" s="410" t="s">
        <v>961</v>
      </c>
      <c r="Z83" s="410">
        <f>3/R83</f>
        <v>0.6</v>
      </c>
      <c r="AA83" s="51">
        <f>+(4/3)*Z83</f>
        <v>0.79999999999999993</v>
      </c>
      <c r="AB83" s="51" t="s">
        <v>135</v>
      </c>
      <c r="AC83" s="410">
        <v>0</v>
      </c>
      <c r="AD83" s="30">
        <v>0</v>
      </c>
      <c r="AE83" s="30" t="s">
        <v>136</v>
      </c>
      <c r="AF83" s="410">
        <v>0</v>
      </c>
      <c r="AG83" s="262">
        <v>0</v>
      </c>
      <c r="AH83" s="185" t="s">
        <v>962</v>
      </c>
      <c r="AI83" s="410">
        <v>0</v>
      </c>
      <c r="AJ83" s="410">
        <v>0</v>
      </c>
      <c r="AK83" s="410" t="s">
        <v>963</v>
      </c>
      <c r="AL83" s="410">
        <v>0</v>
      </c>
      <c r="AM83" s="410"/>
      <c r="AN83" s="410"/>
      <c r="AO83" s="410">
        <v>0</v>
      </c>
      <c r="AP83" s="410"/>
      <c r="AQ83" s="410"/>
      <c r="AR83" s="410">
        <v>0</v>
      </c>
      <c r="AS83" s="410"/>
      <c r="AT83" s="410"/>
      <c r="AU83" s="410">
        <v>0</v>
      </c>
      <c r="AV83" s="410"/>
      <c r="AW83" s="410"/>
      <c r="AX83" s="410">
        <v>0</v>
      </c>
      <c r="AY83" s="410"/>
      <c r="AZ83" s="410"/>
      <c r="BA83" s="410">
        <v>0</v>
      </c>
      <c r="BB83" s="413"/>
      <c r="BC83" s="413"/>
      <c r="BD83" s="413">
        <f t="shared" si="6"/>
        <v>1</v>
      </c>
      <c r="BE83" s="413">
        <f t="shared" si="7"/>
        <v>1.6</v>
      </c>
      <c r="BF83" s="48">
        <f t="shared" si="10"/>
        <v>1.6</v>
      </c>
    </row>
    <row r="84" spans="2:59" s="2" customFormat="1" ht="60.75" hidden="1" customHeight="1">
      <c r="B84" s="44" t="s">
        <v>133</v>
      </c>
      <c r="C84" s="27" t="s">
        <v>964</v>
      </c>
      <c r="D84" s="669"/>
      <c r="E84" s="648"/>
      <c r="F84" s="648"/>
      <c r="G84" s="410" t="s">
        <v>965</v>
      </c>
      <c r="H84" s="410" t="s">
        <v>472</v>
      </c>
      <c r="I84" s="410">
        <v>0.05</v>
      </c>
      <c r="J84" s="410" t="s">
        <v>137</v>
      </c>
      <c r="K84" s="410" t="s">
        <v>73</v>
      </c>
      <c r="L84" s="410" t="s">
        <v>72</v>
      </c>
      <c r="M84" s="410" t="s">
        <v>960</v>
      </c>
      <c r="N84" s="410" t="s">
        <v>776</v>
      </c>
      <c r="O84" s="38">
        <v>44197</v>
      </c>
      <c r="P84" s="38">
        <v>44561</v>
      </c>
      <c r="Q84" s="410">
        <f t="shared" si="9"/>
        <v>0.4</v>
      </c>
      <c r="R84" s="410">
        <v>10</v>
      </c>
      <c r="S84" s="413">
        <f t="shared" si="8"/>
        <v>6.4</v>
      </c>
      <c r="T84" s="410">
        <v>0</v>
      </c>
      <c r="U84" s="410">
        <v>0</v>
      </c>
      <c r="V84" s="410" t="s">
        <v>113</v>
      </c>
      <c r="W84" s="410">
        <v>0</v>
      </c>
      <c r="X84" s="410">
        <f>1/R84</f>
        <v>0.1</v>
      </c>
      <c r="Y84" s="410" t="s">
        <v>966</v>
      </c>
      <c r="Z84" s="410">
        <f>2/R84</f>
        <v>0.2</v>
      </c>
      <c r="AA84" s="51">
        <v>0.1</v>
      </c>
      <c r="AB84" s="51" t="s">
        <v>967</v>
      </c>
      <c r="AC84" s="410">
        <v>0</v>
      </c>
      <c r="AD84" s="30">
        <v>0</v>
      </c>
      <c r="AE84" s="30" t="s">
        <v>968</v>
      </c>
      <c r="AF84" s="410">
        <f>2/R84</f>
        <v>0.2</v>
      </c>
      <c r="AG84" s="262">
        <v>0.2</v>
      </c>
      <c r="AH84" s="185" t="s">
        <v>968</v>
      </c>
      <c r="AI84" s="410">
        <v>0</v>
      </c>
      <c r="AJ84" s="410">
        <v>0</v>
      </c>
      <c r="AK84" s="410" t="s">
        <v>969</v>
      </c>
      <c r="AL84" s="410">
        <v>2</v>
      </c>
      <c r="AM84" s="410"/>
      <c r="AN84" s="410"/>
      <c r="AO84" s="410">
        <v>0</v>
      </c>
      <c r="AP84" s="410"/>
      <c r="AQ84" s="410"/>
      <c r="AR84" s="410">
        <v>2</v>
      </c>
      <c r="AS84" s="410"/>
      <c r="AT84" s="410"/>
      <c r="AU84" s="410">
        <v>0</v>
      </c>
      <c r="AV84" s="410"/>
      <c r="AW84" s="410"/>
      <c r="AX84" s="410">
        <v>2</v>
      </c>
      <c r="AY84" s="410"/>
      <c r="AZ84" s="410"/>
      <c r="BA84" s="410">
        <v>0</v>
      </c>
      <c r="BB84" s="413"/>
      <c r="BC84" s="413"/>
      <c r="BD84" s="413">
        <f t="shared" si="6"/>
        <v>0.4</v>
      </c>
      <c r="BE84" s="413">
        <f t="shared" si="7"/>
        <v>0.4</v>
      </c>
      <c r="BF84" s="48">
        <f t="shared" si="10"/>
        <v>1</v>
      </c>
    </row>
    <row r="85" spans="2:59" s="2" customFormat="1" ht="60.75" hidden="1" customHeight="1">
      <c r="B85" s="44" t="s">
        <v>133</v>
      </c>
      <c r="C85" s="27" t="s">
        <v>970</v>
      </c>
      <c r="D85" s="669"/>
      <c r="E85" s="648"/>
      <c r="F85" s="648"/>
      <c r="G85" s="417" t="s">
        <v>971</v>
      </c>
      <c r="H85" s="417" t="s">
        <v>472</v>
      </c>
      <c r="I85" s="417">
        <v>0.05</v>
      </c>
      <c r="J85" s="417" t="s">
        <v>137</v>
      </c>
      <c r="K85" s="417" t="s">
        <v>73</v>
      </c>
      <c r="L85" s="417" t="s">
        <v>72</v>
      </c>
      <c r="M85" s="417" t="s">
        <v>127</v>
      </c>
      <c r="N85" s="417" t="s">
        <v>776</v>
      </c>
      <c r="O85" s="40">
        <v>44197</v>
      </c>
      <c r="P85" s="40">
        <v>44561</v>
      </c>
      <c r="Q85" s="417">
        <f t="shared" si="9"/>
        <v>0</v>
      </c>
      <c r="R85" s="417">
        <v>1</v>
      </c>
      <c r="S85" s="41">
        <f t="shared" si="8"/>
        <v>1</v>
      </c>
      <c r="T85" s="417">
        <v>0</v>
      </c>
      <c r="U85" s="417">
        <v>0</v>
      </c>
      <c r="V85" s="417" t="s">
        <v>113</v>
      </c>
      <c r="W85" s="417">
        <v>0</v>
      </c>
      <c r="X85" s="417">
        <v>0</v>
      </c>
      <c r="Y85" s="417" t="s">
        <v>972</v>
      </c>
      <c r="Z85" s="417">
        <v>0</v>
      </c>
      <c r="AA85" s="82">
        <v>0</v>
      </c>
      <c r="AB85" s="82" t="s">
        <v>973</v>
      </c>
      <c r="AC85" s="417">
        <v>0</v>
      </c>
      <c r="AD85" s="328">
        <v>0</v>
      </c>
      <c r="AE85" s="328" t="s">
        <v>974</v>
      </c>
      <c r="AF85" s="417">
        <v>0</v>
      </c>
      <c r="AG85" s="138">
        <v>0</v>
      </c>
      <c r="AH85" s="157" t="s">
        <v>975</v>
      </c>
      <c r="AI85" s="417">
        <v>0</v>
      </c>
      <c r="AJ85" s="417">
        <v>0</v>
      </c>
      <c r="AK85" s="417" t="s">
        <v>976</v>
      </c>
      <c r="AL85" s="417">
        <v>0</v>
      </c>
      <c r="AM85" s="417"/>
      <c r="AN85" s="417"/>
      <c r="AO85" s="417">
        <v>0</v>
      </c>
      <c r="AP85" s="417"/>
      <c r="AQ85" s="417"/>
      <c r="AR85" s="417">
        <v>1</v>
      </c>
      <c r="AS85" s="417"/>
      <c r="AT85" s="417"/>
      <c r="AU85" s="417">
        <v>0</v>
      </c>
      <c r="AV85" s="417"/>
      <c r="AW85" s="417"/>
      <c r="AX85" s="417">
        <v>0</v>
      </c>
      <c r="AY85" s="417"/>
      <c r="AZ85" s="417"/>
      <c r="BA85" s="417">
        <v>0</v>
      </c>
      <c r="BB85" s="41"/>
      <c r="BC85" s="41"/>
      <c r="BD85" s="413">
        <f t="shared" si="6"/>
        <v>0</v>
      </c>
      <c r="BE85" s="413">
        <f t="shared" si="7"/>
        <v>0</v>
      </c>
      <c r="BF85" s="68" t="str">
        <f t="shared" si="10"/>
        <v>No programación, No avance</v>
      </c>
    </row>
    <row r="86" spans="2:59" s="2" customFormat="1" ht="60.75" hidden="1" customHeight="1">
      <c r="B86" s="44" t="s">
        <v>133</v>
      </c>
      <c r="C86" s="27" t="s">
        <v>977</v>
      </c>
      <c r="D86" s="669"/>
      <c r="E86" s="648"/>
      <c r="F86" s="648"/>
      <c r="G86" s="417" t="s">
        <v>978</v>
      </c>
      <c r="H86" s="417" t="s">
        <v>472</v>
      </c>
      <c r="I86" s="417">
        <v>0.05</v>
      </c>
      <c r="J86" s="417" t="s">
        <v>137</v>
      </c>
      <c r="K86" s="417" t="s">
        <v>73</v>
      </c>
      <c r="L86" s="417" t="s">
        <v>72</v>
      </c>
      <c r="M86" s="417" t="s">
        <v>127</v>
      </c>
      <c r="N86" s="417" t="s">
        <v>776</v>
      </c>
      <c r="O86" s="40">
        <v>44197</v>
      </c>
      <c r="P86" s="40">
        <v>44561</v>
      </c>
      <c r="Q86" s="417">
        <f t="shared" si="9"/>
        <v>0</v>
      </c>
      <c r="R86" s="417">
        <v>1</v>
      </c>
      <c r="S86" s="41">
        <f t="shared" si="8"/>
        <v>1</v>
      </c>
      <c r="T86" s="417">
        <v>0</v>
      </c>
      <c r="U86" s="417">
        <v>0</v>
      </c>
      <c r="V86" s="417" t="s">
        <v>113</v>
      </c>
      <c r="W86" s="417">
        <v>0</v>
      </c>
      <c r="X86" s="417">
        <v>0</v>
      </c>
      <c r="Y86" s="417" t="s">
        <v>979</v>
      </c>
      <c r="Z86" s="417">
        <v>0</v>
      </c>
      <c r="AA86" s="82">
        <v>0</v>
      </c>
      <c r="AB86" s="82" t="s">
        <v>980</v>
      </c>
      <c r="AC86" s="417">
        <v>0</v>
      </c>
      <c r="AD86" s="328">
        <v>0</v>
      </c>
      <c r="AE86" s="328" t="s">
        <v>981</v>
      </c>
      <c r="AF86" s="417">
        <v>0</v>
      </c>
      <c r="AG86" s="138">
        <v>0</v>
      </c>
      <c r="AH86" s="157" t="s">
        <v>982</v>
      </c>
      <c r="AI86" s="417">
        <v>0</v>
      </c>
      <c r="AJ86" s="417">
        <v>0</v>
      </c>
      <c r="AK86" s="417" t="s">
        <v>983</v>
      </c>
      <c r="AL86" s="417">
        <v>0</v>
      </c>
      <c r="AM86" s="417"/>
      <c r="AN86" s="417"/>
      <c r="AO86" s="417">
        <v>0</v>
      </c>
      <c r="AP86" s="417"/>
      <c r="AQ86" s="417"/>
      <c r="AR86" s="417">
        <v>1</v>
      </c>
      <c r="AS86" s="417"/>
      <c r="AT86" s="417"/>
      <c r="AU86" s="417">
        <v>0</v>
      </c>
      <c r="AV86" s="417"/>
      <c r="AW86" s="417"/>
      <c r="AX86" s="417">
        <v>0</v>
      </c>
      <c r="AY86" s="417"/>
      <c r="AZ86" s="417"/>
      <c r="BA86" s="417">
        <v>0</v>
      </c>
      <c r="BB86" s="41"/>
      <c r="BC86" s="41"/>
      <c r="BD86" s="413">
        <f t="shared" si="6"/>
        <v>0</v>
      </c>
      <c r="BE86" s="413">
        <f t="shared" si="7"/>
        <v>0</v>
      </c>
      <c r="BF86" s="68" t="str">
        <f t="shared" si="10"/>
        <v>No programación, No avance</v>
      </c>
    </row>
    <row r="87" spans="2:59" s="2" customFormat="1" ht="60.75" hidden="1" customHeight="1">
      <c r="B87" s="44" t="s">
        <v>133</v>
      </c>
      <c r="C87" s="27" t="s">
        <v>984</v>
      </c>
      <c r="D87" s="669"/>
      <c r="E87" s="648"/>
      <c r="F87" s="648"/>
      <c r="G87" s="410" t="s">
        <v>985</v>
      </c>
      <c r="H87" s="410" t="s">
        <v>472</v>
      </c>
      <c r="I87" s="410">
        <v>0.15</v>
      </c>
      <c r="J87" s="410" t="s">
        <v>137</v>
      </c>
      <c r="K87" s="410" t="s">
        <v>73</v>
      </c>
      <c r="L87" s="410" t="s">
        <v>902</v>
      </c>
      <c r="M87" s="410" t="s">
        <v>960</v>
      </c>
      <c r="N87" s="410" t="s">
        <v>776</v>
      </c>
      <c r="O87" s="38">
        <v>44197</v>
      </c>
      <c r="P87" s="38">
        <v>44561</v>
      </c>
      <c r="Q87" s="410">
        <f t="shared" si="9"/>
        <v>0</v>
      </c>
      <c r="R87" s="410">
        <v>1000</v>
      </c>
      <c r="S87" s="413">
        <f t="shared" si="8"/>
        <v>1000</v>
      </c>
      <c r="T87" s="410">
        <v>0</v>
      </c>
      <c r="U87" s="410">
        <v>0</v>
      </c>
      <c r="V87" s="410" t="s">
        <v>113</v>
      </c>
      <c r="W87" s="410">
        <v>0</v>
      </c>
      <c r="X87" s="410">
        <v>0</v>
      </c>
      <c r="Y87" s="410" t="s">
        <v>986</v>
      </c>
      <c r="Z87" s="410">
        <v>0</v>
      </c>
      <c r="AA87" s="51">
        <v>0</v>
      </c>
      <c r="AB87" s="51" t="s">
        <v>987</v>
      </c>
      <c r="AC87" s="410">
        <v>0</v>
      </c>
      <c r="AD87" s="30">
        <v>0</v>
      </c>
      <c r="AE87" s="30" t="s">
        <v>988</v>
      </c>
      <c r="AF87" s="410">
        <v>0</v>
      </c>
      <c r="AG87" s="262">
        <v>0</v>
      </c>
      <c r="AH87" s="185" t="s">
        <v>989</v>
      </c>
      <c r="AI87" s="410">
        <v>0</v>
      </c>
      <c r="AJ87" s="410">
        <v>0</v>
      </c>
      <c r="AK87" s="410" t="s">
        <v>990</v>
      </c>
      <c r="AL87" s="410">
        <v>100</v>
      </c>
      <c r="AM87" s="410"/>
      <c r="AN87" s="410"/>
      <c r="AO87" s="410">
        <v>150</v>
      </c>
      <c r="AP87" s="410"/>
      <c r="AQ87" s="410"/>
      <c r="AR87" s="410">
        <v>200</v>
      </c>
      <c r="AS87" s="410"/>
      <c r="AT87" s="410"/>
      <c r="AU87" s="410">
        <v>200</v>
      </c>
      <c r="AV87" s="410"/>
      <c r="AW87" s="410"/>
      <c r="AX87" s="410">
        <v>150</v>
      </c>
      <c r="AY87" s="410"/>
      <c r="AZ87" s="410"/>
      <c r="BA87" s="410">
        <v>200</v>
      </c>
      <c r="BB87" s="413"/>
      <c r="BC87" s="413"/>
      <c r="BD87" s="413">
        <f t="shared" si="6"/>
        <v>0</v>
      </c>
      <c r="BE87" s="413">
        <f t="shared" si="7"/>
        <v>0</v>
      </c>
      <c r="BF87" s="48" t="str">
        <f t="shared" si="10"/>
        <v>No programación, No avance</v>
      </c>
    </row>
    <row r="88" spans="2:59" s="2" customFormat="1" ht="60.75" hidden="1" customHeight="1">
      <c r="B88" s="44" t="s">
        <v>133</v>
      </c>
      <c r="C88" s="27" t="s">
        <v>991</v>
      </c>
      <c r="D88" s="669"/>
      <c r="E88" s="648"/>
      <c r="F88" s="648"/>
      <c r="G88" s="410" t="s">
        <v>992</v>
      </c>
      <c r="H88" s="410" t="s">
        <v>472</v>
      </c>
      <c r="I88" s="410">
        <v>0.05</v>
      </c>
      <c r="J88" s="410" t="s">
        <v>137</v>
      </c>
      <c r="K88" s="410" t="s">
        <v>73</v>
      </c>
      <c r="L88" s="410" t="s">
        <v>72</v>
      </c>
      <c r="M88" s="410" t="s">
        <v>127</v>
      </c>
      <c r="N88" s="410" t="s">
        <v>776</v>
      </c>
      <c r="O88" s="38">
        <v>44197</v>
      </c>
      <c r="P88" s="38">
        <v>44561</v>
      </c>
      <c r="Q88" s="410">
        <f t="shared" si="9"/>
        <v>0.6</v>
      </c>
      <c r="R88" s="410">
        <v>5</v>
      </c>
      <c r="S88" s="413">
        <f t="shared" si="8"/>
        <v>1</v>
      </c>
      <c r="T88" s="410">
        <v>0</v>
      </c>
      <c r="U88" s="410">
        <v>0</v>
      </c>
      <c r="V88" s="410" t="s">
        <v>113</v>
      </c>
      <c r="W88" s="410">
        <v>0</v>
      </c>
      <c r="X88" s="410">
        <v>0</v>
      </c>
      <c r="Y88" s="410" t="s">
        <v>986</v>
      </c>
      <c r="Z88" s="410">
        <v>0</v>
      </c>
      <c r="AA88" s="51">
        <v>0</v>
      </c>
      <c r="AB88" s="51" t="s">
        <v>993</v>
      </c>
      <c r="AC88" s="410">
        <v>0</v>
      </c>
      <c r="AD88" s="30">
        <v>0</v>
      </c>
      <c r="AE88" s="30" t="s">
        <v>994</v>
      </c>
      <c r="AF88" s="410">
        <f>2/R88</f>
        <v>0.4</v>
      </c>
      <c r="AG88" s="262">
        <v>0</v>
      </c>
      <c r="AH88" s="185" t="s">
        <v>995</v>
      </c>
      <c r="AI88" s="410">
        <f>3/R88</f>
        <v>0.6</v>
      </c>
      <c r="AJ88" s="410">
        <f>+(3/3)*AI88</f>
        <v>0.6</v>
      </c>
      <c r="AK88" s="410" t="s">
        <v>996</v>
      </c>
      <c r="AL88" s="410">
        <v>0</v>
      </c>
      <c r="AM88" s="410"/>
      <c r="AN88" s="410"/>
      <c r="AO88" s="410">
        <v>0</v>
      </c>
      <c r="AP88" s="410"/>
      <c r="AQ88" s="410"/>
      <c r="AR88" s="410">
        <v>0</v>
      </c>
      <c r="AS88" s="410"/>
      <c r="AT88" s="410"/>
      <c r="AU88" s="410">
        <v>0</v>
      </c>
      <c r="AV88" s="410"/>
      <c r="AW88" s="410"/>
      <c r="AX88" s="410">
        <v>0</v>
      </c>
      <c r="AY88" s="410"/>
      <c r="AZ88" s="410"/>
      <c r="BA88" s="410">
        <v>0</v>
      </c>
      <c r="BB88" s="413"/>
      <c r="BC88" s="413"/>
      <c r="BD88" s="413">
        <f t="shared" si="6"/>
        <v>1</v>
      </c>
      <c r="BE88" s="413">
        <f t="shared" si="7"/>
        <v>0.6</v>
      </c>
      <c r="BF88" s="48">
        <f t="shared" si="10"/>
        <v>0.6</v>
      </c>
    </row>
    <row r="89" spans="2:59" s="2" customFormat="1" ht="60.75" hidden="1" customHeight="1">
      <c r="B89" s="44" t="s">
        <v>133</v>
      </c>
      <c r="C89" s="27" t="s">
        <v>997</v>
      </c>
      <c r="D89" s="669"/>
      <c r="E89" s="648"/>
      <c r="F89" s="648"/>
      <c r="G89" s="410" t="s">
        <v>998</v>
      </c>
      <c r="H89" s="410" t="s">
        <v>472</v>
      </c>
      <c r="I89" s="410">
        <v>0.05</v>
      </c>
      <c r="J89" s="410" t="s">
        <v>137</v>
      </c>
      <c r="K89" s="410" t="s">
        <v>73</v>
      </c>
      <c r="L89" s="410" t="s">
        <v>72</v>
      </c>
      <c r="M89" s="410" t="s">
        <v>127</v>
      </c>
      <c r="N89" s="410" t="s">
        <v>776</v>
      </c>
      <c r="O89" s="38">
        <v>44197</v>
      </c>
      <c r="P89" s="38">
        <v>44561</v>
      </c>
      <c r="Q89" s="410">
        <f t="shared" si="9"/>
        <v>0</v>
      </c>
      <c r="R89" s="410">
        <v>15</v>
      </c>
      <c r="S89" s="413">
        <f t="shared" si="8"/>
        <v>15</v>
      </c>
      <c r="T89" s="410">
        <v>0</v>
      </c>
      <c r="U89" s="410">
        <v>0</v>
      </c>
      <c r="V89" s="410" t="s">
        <v>113</v>
      </c>
      <c r="W89" s="410">
        <v>0</v>
      </c>
      <c r="X89" s="410">
        <v>0</v>
      </c>
      <c r="Y89" s="410" t="s">
        <v>999</v>
      </c>
      <c r="Z89" s="410">
        <v>0</v>
      </c>
      <c r="AA89" s="51">
        <v>0</v>
      </c>
      <c r="AB89" s="51" t="s">
        <v>1000</v>
      </c>
      <c r="AC89" s="410">
        <v>0</v>
      </c>
      <c r="AD89" s="30">
        <v>0</v>
      </c>
      <c r="AE89" s="30" t="s">
        <v>1001</v>
      </c>
      <c r="AF89" s="410">
        <v>0</v>
      </c>
      <c r="AG89" s="262">
        <v>0</v>
      </c>
      <c r="AH89" s="185" t="s">
        <v>1002</v>
      </c>
      <c r="AI89" s="410">
        <v>0</v>
      </c>
      <c r="AJ89" s="410">
        <v>0</v>
      </c>
      <c r="AK89" s="410" t="s">
        <v>1001</v>
      </c>
      <c r="AL89" s="410">
        <v>0</v>
      </c>
      <c r="AM89" s="410"/>
      <c r="AN89" s="410"/>
      <c r="AO89" s="410">
        <v>5</v>
      </c>
      <c r="AP89" s="410"/>
      <c r="AQ89" s="410"/>
      <c r="AR89" s="410">
        <v>0</v>
      </c>
      <c r="AS89" s="410"/>
      <c r="AT89" s="410"/>
      <c r="AU89" s="410">
        <v>5</v>
      </c>
      <c r="AV89" s="410"/>
      <c r="AW89" s="410"/>
      <c r="AX89" s="410">
        <v>0</v>
      </c>
      <c r="AY89" s="410"/>
      <c r="AZ89" s="410"/>
      <c r="BA89" s="410">
        <v>5</v>
      </c>
      <c r="BB89" s="413"/>
      <c r="BC89" s="413"/>
      <c r="BD89" s="413">
        <f t="shared" si="6"/>
        <v>0</v>
      </c>
      <c r="BE89" s="413">
        <f t="shared" si="7"/>
        <v>0</v>
      </c>
      <c r="BF89" s="48" t="str">
        <f t="shared" si="10"/>
        <v>No programación, No avance</v>
      </c>
      <c r="BG89" s="47"/>
    </row>
    <row r="90" spans="2:59" s="2" customFormat="1" ht="60.75" hidden="1" customHeight="1">
      <c r="B90" s="44" t="s">
        <v>133</v>
      </c>
      <c r="C90" s="27" t="s">
        <v>1003</v>
      </c>
      <c r="D90" s="669"/>
      <c r="E90" s="648"/>
      <c r="F90" s="648"/>
      <c r="G90" s="410" t="s">
        <v>1004</v>
      </c>
      <c r="H90" s="410" t="s">
        <v>472</v>
      </c>
      <c r="I90" s="410">
        <v>0.05</v>
      </c>
      <c r="J90" s="410" t="s">
        <v>137</v>
      </c>
      <c r="K90" s="410" t="s">
        <v>73</v>
      </c>
      <c r="L90" s="410" t="s">
        <v>72</v>
      </c>
      <c r="M90" s="410" t="s">
        <v>127</v>
      </c>
      <c r="N90" s="410" t="s">
        <v>776</v>
      </c>
      <c r="O90" s="38">
        <v>44197</v>
      </c>
      <c r="P90" s="38">
        <v>44561</v>
      </c>
      <c r="Q90" s="410">
        <f t="shared" si="9"/>
        <v>0</v>
      </c>
      <c r="R90" s="410">
        <v>6</v>
      </c>
      <c r="S90" s="413">
        <f t="shared" si="8"/>
        <v>6</v>
      </c>
      <c r="T90" s="410">
        <v>0</v>
      </c>
      <c r="U90" s="410">
        <v>0</v>
      </c>
      <c r="V90" s="410" t="s">
        <v>113</v>
      </c>
      <c r="W90" s="410">
        <v>0</v>
      </c>
      <c r="X90" s="410">
        <v>0</v>
      </c>
      <c r="Y90" s="410" t="s">
        <v>999</v>
      </c>
      <c r="Z90" s="410">
        <v>0</v>
      </c>
      <c r="AA90" s="51">
        <v>0</v>
      </c>
      <c r="AB90" s="51" t="s">
        <v>1000</v>
      </c>
      <c r="AC90" s="410">
        <v>0</v>
      </c>
      <c r="AD90" s="30">
        <v>0</v>
      </c>
      <c r="AE90" s="30" t="s">
        <v>1001</v>
      </c>
      <c r="AF90" s="410">
        <v>0</v>
      </c>
      <c r="AG90" s="262">
        <v>0</v>
      </c>
      <c r="AH90" s="185" t="s">
        <v>1002</v>
      </c>
      <c r="AI90" s="410">
        <v>0</v>
      </c>
      <c r="AJ90" s="410">
        <v>0</v>
      </c>
      <c r="AK90" s="410" t="s">
        <v>1001</v>
      </c>
      <c r="AL90" s="410">
        <v>1</v>
      </c>
      <c r="AM90" s="410"/>
      <c r="AN90" s="410"/>
      <c r="AO90" s="410">
        <v>1</v>
      </c>
      <c r="AP90" s="410"/>
      <c r="AQ90" s="410"/>
      <c r="AR90" s="410">
        <v>1</v>
      </c>
      <c r="AS90" s="410"/>
      <c r="AT90" s="410"/>
      <c r="AU90" s="410">
        <v>1</v>
      </c>
      <c r="AV90" s="410"/>
      <c r="AW90" s="410"/>
      <c r="AX90" s="410">
        <v>1</v>
      </c>
      <c r="AY90" s="410"/>
      <c r="AZ90" s="410"/>
      <c r="BA90" s="410">
        <v>1</v>
      </c>
      <c r="BB90" s="413"/>
      <c r="BC90" s="413"/>
      <c r="BD90" s="413">
        <f t="shared" si="6"/>
        <v>0</v>
      </c>
      <c r="BE90" s="413">
        <f t="shared" si="7"/>
        <v>0</v>
      </c>
      <c r="BF90" s="48" t="str">
        <f t="shared" si="10"/>
        <v>No programación, No avance</v>
      </c>
      <c r="BG90" s="47"/>
    </row>
    <row r="91" spans="2:59" s="2" customFormat="1" ht="60.75" hidden="1" customHeight="1">
      <c r="B91" s="44" t="s">
        <v>133</v>
      </c>
      <c r="C91" s="27" t="s">
        <v>1005</v>
      </c>
      <c r="D91" s="669"/>
      <c r="E91" s="648"/>
      <c r="F91" s="648"/>
      <c r="G91" s="417" t="s">
        <v>1006</v>
      </c>
      <c r="H91" s="417" t="s">
        <v>472</v>
      </c>
      <c r="I91" s="417">
        <v>0.05</v>
      </c>
      <c r="J91" s="417" t="s">
        <v>137</v>
      </c>
      <c r="K91" s="417" t="s">
        <v>73</v>
      </c>
      <c r="L91" s="417" t="s">
        <v>72</v>
      </c>
      <c r="M91" s="417" t="s">
        <v>127</v>
      </c>
      <c r="N91" s="417" t="s">
        <v>776</v>
      </c>
      <c r="O91" s="40">
        <v>44197</v>
      </c>
      <c r="P91" s="40">
        <v>44561</v>
      </c>
      <c r="Q91" s="417">
        <f t="shared" si="9"/>
        <v>0</v>
      </c>
      <c r="R91" s="417">
        <v>10</v>
      </c>
      <c r="S91" s="41">
        <f t="shared" si="8"/>
        <v>1</v>
      </c>
      <c r="T91" s="417">
        <v>0</v>
      </c>
      <c r="U91" s="417">
        <v>0</v>
      </c>
      <c r="V91" s="417" t="s">
        <v>113</v>
      </c>
      <c r="W91" s="417">
        <v>0.2</v>
      </c>
      <c r="X91" s="417">
        <v>0</v>
      </c>
      <c r="Y91" s="417" t="s">
        <v>1007</v>
      </c>
      <c r="Z91" s="417">
        <v>0.2</v>
      </c>
      <c r="AA91" s="82">
        <v>0</v>
      </c>
      <c r="AB91" s="82" t="s">
        <v>1008</v>
      </c>
      <c r="AC91" s="417">
        <v>0.2</v>
      </c>
      <c r="AD91" s="328">
        <v>0</v>
      </c>
      <c r="AE91" s="328" t="s">
        <v>1009</v>
      </c>
      <c r="AF91" s="417">
        <v>0.2</v>
      </c>
      <c r="AG91" s="138">
        <v>0</v>
      </c>
      <c r="AH91" s="157" t="s">
        <v>1010</v>
      </c>
      <c r="AI91" s="417">
        <f>2/R91</f>
        <v>0.2</v>
      </c>
      <c r="AJ91" s="417">
        <v>0</v>
      </c>
      <c r="AK91" s="417" t="s">
        <v>1011</v>
      </c>
      <c r="AL91" s="417">
        <v>0</v>
      </c>
      <c r="AM91" s="417"/>
      <c r="AN91" s="417"/>
      <c r="AO91" s="417">
        <v>0</v>
      </c>
      <c r="AP91" s="417"/>
      <c r="AQ91" s="417"/>
      <c r="AR91" s="417">
        <v>0</v>
      </c>
      <c r="AS91" s="417"/>
      <c r="AT91" s="417"/>
      <c r="AU91" s="417">
        <v>0</v>
      </c>
      <c r="AV91" s="417"/>
      <c r="AW91" s="417"/>
      <c r="AX91" s="417">
        <v>0</v>
      </c>
      <c r="AY91" s="417"/>
      <c r="AZ91" s="417"/>
      <c r="BA91" s="417">
        <v>0</v>
      </c>
      <c r="BB91" s="41"/>
      <c r="BC91" s="41"/>
      <c r="BD91" s="413">
        <f t="shared" si="6"/>
        <v>1</v>
      </c>
      <c r="BE91" s="413">
        <f t="shared" si="7"/>
        <v>0</v>
      </c>
      <c r="BF91" s="68">
        <f t="shared" si="10"/>
        <v>0</v>
      </c>
    </row>
    <row r="92" spans="2:59" s="2" customFormat="1" ht="60.75" hidden="1" customHeight="1">
      <c r="B92" s="44" t="s">
        <v>133</v>
      </c>
      <c r="C92" s="27" t="s">
        <v>1012</v>
      </c>
      <c r="D92" s="669"/>
      <c r="E92" s="648"/>
      <c r="F92" s="648"/>
      <c r="G92" s="417" t="s">
        <v>1013</v>
      </c>
      <c r="H92" s="417" t="s">
        <v>531</v>
      </c>
      <c r="I92" s="417">
        <v>0.15</v>
      </c>
      <c r="J92" s="417" t="s">
        <v>137</v>
      </c>
      <c r="K92" s="417" t="s">
        <v>73</v>
      </c>
      <c r="L92" s="417" t="s">
        <v>72</v>
      </c>
      <c r="M92" s="417" t="s">
        <v>960</v>
      </c>
      <c r="N92" s="417" t="s">
        <v>790</v>
      </c>
      <c r="O92" s="40">
        <v>44197</v>
      </c>
      <c r="P92" s="40">
        <v>44561</v>
      </c>
      <c r="Q92" s="417">
        <f t="shared" si="9"/>
        <v>8.8400000000000006E-2</v>
      </c>
      <c r="R92" s="417">
        <v>5000</v>
      </c>
      <c r="S92" s="41">
        <f t="shared" si="8"/>
        <v>3000.4</v>
      </c>
      <c r="T92" s="417">
        <v>0</v>
      </c>
      <c r="U92" s="417">
        <v>0</v>
      </c>
      <c r="V92" s="417" t="s">
        <v>113</v>
      </c>
      <c r="W92" s="417">
        <v>0</v>
      </c>
      <c r="X92" s="417">
        <v>0</v>
      </c>
      <c r="Y92" s="417" t="s">
        <v>979</v>
      </c>
      <c r="Z92" s="417">
        <v>0</v>
      </c>
      <c r="AA92" s="82">
        <f>82/R92</f>
        <v>1.6400000000000001E-2</v>
      </c>
      <c r="AB92" s="82" t="s">
        <v>1014</v>
      </c>
      <c r="AC92" s="417">
        <f>1000/R92</f>
        <v>0.2</v>
      </c>
      <c r="AD92" s="328">
        <f>+(225/1000)*AC92</f>
        <v>4.5000000000000005E-2</v>
      </c>
      <c r="AE92" s="328" t="s">
        <v>1015</v>
      </c>
      <c r="AF92" s="417">
        <v>0</v>
      </c>
      <c r="AG92" s="138">
        <v>0</v>
      </c>
      <c r="AH92" s="157" t="s">
        <v>1016</v>
      </c>
      <c r="AI92" s="417">
        <f>1000/R92</f>
        <v>0.2</v>
      </c>
      <c r="AJ92" s="417">
        <f>+(135/1000)*AI92</f>
        <v>2.7000000000000003E-2</v>
      </c>
      <c r="AK92" s="417" t="s">
        <v>1017</v>
      </c>
      <c r="AL92" s="417">
        <v>0</v>
      </c>
      <c r="AM92" s="417"/>
      <c r="AN92" s="417"/>
      <c r="AO92" s="417">
        <v>1000</v>
      </c>
      <c r="AP92" s="417"/>
      <c r="AQ92" s="417"/>
      <c r="AR92" s="417">
        <v>0</v>
      </c>
      <c r="AS92" s="417"/>
      <c r="AT92" s="417"/>
      <c r="AU92" s="417">
        <v>1000</v>
      </c>
      <c r="AV92" s="417"/>
      <c r="AW92" s="417"/>
      <c r="AX92" s="417">
        <v>0</v>
      </c>
      <c r="AY92" s="417"/>
      <c r="AZ92" s="417"/>
      <c r="BA92" s="417">
        <v>1000</v>
      </c>
      <c r="BB92" s="41"/>
      <c r="BC92" s="41"/>
      <c r="BD92" s="413">
        <f t="shared" si="6"/>
        <v>0.4</v>
      </c>
      <c r="BE92" s="413">
        <f t="shared" si="7"/>
        <v>8.8400000000000006E-2</v>
      </c>
      <c r="BF92" s="68">
        <f t="shared" si="10"/>
        <v>0.221</v>
      </c>
    </row>
    <row r="93" spans="2:59" s="2" customFormat="1" ht="60.75" customHeight="1">
      <c r="B93" s="44" t="s">
        <v>133</v>
      </c>
      <c r="C93" s="27" t="s">
        <v>1018</v>
      </c>
      <c r="D93" s="669"/>
      <c r="E93" s="648"/>
      <c r="F93" s="648"/>
      <c r="G93" s="410" t="s">
        <v>1019</v>
      </c>
      <c r="H93" s="410" t="s">
        <v>472</v>
      </c>
      <c r="I93" s="410">
        <v>0.05</v>
      </c>
      <c r="J93" s="410" t="s">
        <v>137</v>
      </c>
      <c r="K93" s="410" t="s">
        <v>73</v>
      </c>
      <c r="L93" s="410" t="s">
        <v>72</v>
      </c>
      <c r="M93" s="410" t="s">
        <v>775</v>
      </c>
      <c r="N93" s="410" t="s">
        <v>776</v>
      </c>
      <c r="O93" s="38">
        <v>44197</v>
      </c>
      <c r="P93" s="38">
        <v>44561</v>
      </c>
      <c r="Q93" s="410">
        <f t="shared" si="9"/>
        <v>3.1</v>
      </c>
      <c r="R93" s="410">
        <v>10</v>
      </c>
      <c r="S93" s="413">
        <f t="shared" si="8"/>
        <v>6.4</v>
      </c>
      <c r="T93" s="410">
        <v>0</v>
      </c>
      <c r="U93" s="410">
        <v>0</v>
      </c>
      <c r="V93" s="410" t="s">
        <v>113</v>
      </c>
      <c r="W93" s="410">
        <v>0</v>
      </c>
      <c r="X93" s="410">
        <f>28/R93</f>
        <v>2.8</v>
      </c>
      <c r="Y93" s="410" t="s">
        <v>1020</v>
      </c>
      <c r="Z93" s="410">
        <f>1/R93</f>
        <v>0.1</v>
      </c>
      <c r="AA93" s="51">
        <f>1/R93</f>
        <v>0.1</v>
      </c>
      <c r="AB93" s="51" t="s">
        <v>1021</v>
      </c>
      <c r="AC93" s="410">
        <f>1/R93</f>
        <v>0.1</v>
      </c>
      <c r="AD93" s="30">
        <v>0.1</v>
      </c>
      <c r="AE93" s="30" t="s">
        <v>1022</v>
      </c>
      <c r="AF93" s="410">
        <f>1/R93</f>
        <v>0.1</v>
      </c>
      <c r="AG93" s="262">
        <v>0.1</v>
      </c>
      <c r="AH93" s="185" t="s">
        <v>1023</v>
      </c>
      <c r="AI93" s="410">
        <f>1/R93</f>
        <v>0.1</v>
      </c>
      <c r="AJ93" s="410">
        <v>0</v>
      </c>
      <c r="AK93" s="410" t="s">
        <v>1024</v>
      </c>
      <c r="AL93" s="410">
        <v>1</v>
      </c>
      <c r="AM93" s="410"/>
      <c r="AN93" s="410"/>
      <c r="AO93" s="410">
        <v>1</v>
      </c>
      <c r="AP93" s="410"/>
      <c r="AQ93" s="410"/>
      <c r="AR93" s="410">
        <v>1</v>
      </c>
      <c r="AS93" s="410"/>
      <c r="AT93" s="410"/>
      <c r="AU93" s="410">
        <v>1</v>
      </c>
      <c r="AV93" s="410"/>
      <c r="AW93" s="410"/>
      <c r="AX93" s="410">
        <v>1</v>
      </c>
      <c r="AY93" s="410"/>
      <c r="AZ93" s="410"/>
      <c r="BA93" s="410">
        <v>1</v>
      </c>
      <c r="BB93" s="413"/>
      <c r="BC93" s="413"/>
      <c r="BD93" s="413">
        <f t="shared" si="6"/>
        <v>0.4</v>
      </c>
      <c r="BE93" s="413">
        <f t="shared" si="7"/>
        <v>3.1</v>
      </c>
      <c r="BF93" s="48">
        <f t="shared" si="10"/>
        <v>7.75</v>
      </c>
    </row>
    <row r="94" spans="2:59" s="2" customFormat="1" ht="60.75" hidden="1" customHeight="1">
      <c r="B94" s="44" t="s">
        <v>133</v>
      </c>
      <c r="C94" s="27" t="s">
        <v>1025</v>
      </c>
      <c r="D94" s="669"/>
      <c r="E94" s="648"/>
      <c r="F94" s="648"/>
      <c r="G94" s="417" t="s">
        <v>1026</v>
      </c>
      <c r="H94" s="417" t="s">
        <v>472</v>
      </c>
      <c r="I94" s="417">
        <v>0.05</v>
      </c>
      <c r="J94" s="417" t="s">
        <v>137</v>
      </c>
      <c r="K94" s="417" t="s">
        <v>73</v>
      </c>
      <c r="L94" s="417" t="s">
        <v>72</v>
      </c>
      <c r="M94" s="417" t="s">
        <v>1027</v>
      </c>
      <c r="N94" s="417" t="s">
        <v>776</v>
      </c>
      <c r="O94" s="40">
        <v>44197</v>
      </c>
      <c r="P94" s="40">
        <v>44561</v>
      </c>
      <c r="Q94" s="417">
        <f t="shared" si="9"/>
        <v>7.4999999999999997E-2</v>
      </c>
      <c r="R94" s="417">
        <v>200</v>
      </c>
      <c r="S94" s="41">
        <f t="shared" si="8"/>
        <v>150.25</v>
      </c>
      <c r="T94" s="417">
        <v>0</v>
      </c>
      <c r="U94" s="417">
        <v>0</v>
      </c>
      <c r="V94" s="417" t="s">
        <v>113</v>
      </c>
      <c r="W94" s="417">
        <v>0</v>
      </c>
      <c r="X94" s="417">
        <v>0</v>
      </c>
      <c r="Y94" s="417" t="s">
        <v>979</v>
      </c>
      <c r="Z94" s="417">
        <f>50/R94</f>
        <v>0.25</v>
      </c>
      <c r="AA94" s="82">
        <f>+(2/50)*Z94</f>
        <v>0.01</v>
      </c>
      <c r="AB94" s="82" t="s">
        <v>1028</v>
      </c>
      <c r="AC94" s="417">
        <v>0</v>
      </c>
      <c r="AD94" s="328">
        <v>0</v>
      </c>
      <c r="AE94" s="328" t="s">
        <v>1029</v>
      </c>
      <c r="AF94" s="417">
        <v>0</v>
      </c>
      <c r="AG94" s="138">
        <f>13/R94</f>
        <v>6.5000000000000002E-2</v>
      </c>
      <c r="AH94" s="157" t="s">
        <v>1030</v>
      </c>
      <c r="AI94" s="417">
        <v>0</v>
      </c>
      <c r="AJ94" s="417">
        <v>0</v>
      </c>
      <c r="AK94" s="417" t="s">
        <v>1031</v>
      </c>
      <c r="AL94" s="417">
        <v>0</v>
      </c>
      <c r="AM94" s="417"/>
      <c r="AN94" s="417"/>
      <c r="AO94" s="417">
        <v>70</v>
      </c>
      <c r="AP94" s="417"/>
      <c r="AQ94" s="417"/>
      <c r="AR94" s="417">
        <v>0</v>
      </c>
      <c r="AS94" s="417"/>
      <c r="AT94" s="417"/>
      <c r="AU94" s="417">
        <v>0</v>
      </c>
      <c r="AV94" s="417"/>
      <c r="AW94" s="417"/>
      <c r="AX94" s="417">
        <v>0</v>
      </c>
      <c r="AY94" s="417"/>
      <c r="AZ94" s="417"/>
      <c r="BA94" s="417">
        <v>80</v>
      </c>
      <c r="BB94" s="41"/>
      <c r="BC94" s="41"/>
      <c r="BD94" s="413">
        <f t="shared" si="6"/>
        <v>0.25</v>
      </c>
      <c r="BE94" s="413">
        <f t="shared" si="7"/>
        <v>7.4999999999999997E-2</v>
      </c>
      <c r="BF94" s="68">
        <f t="shared" si="10"/>
        <v>0.3</v>
      </c>
    </row>
    <row r="95" spans="2:59" s="2" customFormat="1" ht="60.75" hidden="1" customHeight="1">
      <c r="B95" s="44" t="s">
        <v>133</v>
      </c>
      <c r="C95" s="27" t="s">
        <v>1032</v>
      </c>
      <c r="D95" s="669"/>
      <c r="E95" s="648"/>
      <c r="F95" s="648"/>
      <c r="G95" s="417" t="s">
        <v>1033</v>
      </c>
      <c r="H95" s="417" t="s">
        <v>472</v>
      </c>
      <c r="I95" s="417">
        <v>0.1</v>
      </c>
      <c r="J95" s="417" t="s">
        <v>137</v>
      </c>
      <c r="K95" s="417" t="s">
        <v>73</v>
      </c>
      <c r="L95" s="417" t="s">
        <v>1034</v>
      </c>
      <c r="M95" s="417" t="s">
        <v>775</v>
      </c>
      <c r="N95" s="417" t="s">
        <v>776</v>
      </c>
      <c r="O95" s="40">
        <v>44197</v>
      </c>
      <c r="P95" s="40">
        <v>44561</v>
      </c>
      <c r="Q95" s="417">
        <f t="shared" si="9"/>
        <v>0</v>
      </c>
      <c r="R95" s="417">
        <v>1</v>
      </c>
      <c r="S95" s="41">
        <f t="shared" si="8"/>
        <v>1</v>
      </c>
      <c r="T95" s="417">
        <v>0</v>
      </c>
      <c r="U95" s="417">
        <v>0</v>
      </c>
      <c r="V95" s="417" t="s">
        <v>113</v>
      </c>
      <c r="W95" s="417">
        <v>0</v>
      </c>
      <c r="X95" s="417">
        <v>0</v>
      </c>
      <c r="Y95" s="417" t="s">
        <v>1035</v>
      </c>
      <c r="Z95" s="417">
        <v>0</v>
      </c>
      <c r="AA95" s="82">
        <v>0</v>
      </c>
      <c r="AB95" s="82" t="s">
        <v>1036</v>
      </c>
      <c r="AC95" s="417">
        <v>0</v>
      </c>
      <c r="AD95" s="328">
        <v>0</v>
      </c>
      <c r="AE95" s="328" t="s">
        <v>1036</v>
      </c>
      <c r="AF95" s="417">
        <v>0</v>
      </c>
      <c r="AG95" s="138">
        <v>0</v>
      </c>
      <c r="AH95" s="157" t="s">
        <v>1037</v>
      </c>
      <c r="AI95" s="417">
        <v>0</v>
      </c>
      <c r="AJ95" s="417">
        <v>0</v>
      </c>
      <c r="AK95" s="417" t="s">
        <v>1038</v>
      </c>
      <c r="AL95" s="417">
        <v>0</v>
      </c>
      <c r="AM95" s="417"/>
      <c r="AN95" s="417"/>
      <c r="AO95" s="417">
        <v>0</v>
      </c>
      <c r="AP95" s="417"/>
      <c r="AQ95" s="417"/>
      <c r="AR95" s="417">
        <v>0</v>
      </c>
      <c r="AS95" s="417"/>
      <c r="AT95" s="417"/>
      <c r="AU95" s="417">
        <v>0</v>
      </c>
      <c r="AV95" s="417"/>
      <c r="AW95" s="417"/>
      <c r="AX95" s="417">
        <v>1</v>
      </c>
      <c r="AY95" s="417"/>
      <c r="AZ95" s="417"/>
      <c r="BA95" s="417">
        <v>0</v>
      </c>
      <c r="BB95" s="41"/>
      <c r="BC95" s="41"/>
      <c r="BD95" s="413">
        <f t="shared" si="6"/>
        <v>0</v>
      </c>
      <c r="BE95" s="413">
        <f t="shared" si="7"/>
        <v>0</v>
      </c>
      <c r="BF95" s="68" t="str">
        <f t="shared" si="10"/>
        <v>No programación, No avance</v>
      </c>
    </row>
    <row r="96" spans="2:59" s="2" customFormat="1" ht="60.75" hidden="1" customHeight="1">
      <c r="B96" s="44" t="s">
        <v>138</v>
      </c>
      <c r="C96" s="27" t="s">
        <v>1039</v>
      </c>
      <c r="D96" s="669"/>
      <c r="E96" s="648" t="s">
        <v>139</v>
      </c>
      <c r="F96" s="648" t="s">
        <v>1040</v>
      </c>
      <c r="G96" s="417" t="s">
        <v>1041</v>
      </c>
      <c r="H96" s="417" t="s">
        <v>472</v>
      </c>
      <c r="I96" s="417">
        <v>0.17699999999999999</v>
      </c>
      <c r="J96" s="417" t="s">
        <v>1042</v>
      </c>
      <c r="K96" s="417" t="s">
        <v>73</v>
      </c>
      <c r="L96" s="417" t="s">
        <v>711</v>
      </c>
      <c r="M96" s="417" t="s">
        <v>726</v>
      </c>
      <c r="N96" s="417" t="s">
        <v>790</v>
      </c>
      <c r="O96" s="40">
        <v>44197</v>
      </c>
      <c r="P96" s="40">
        <v>44561</v>
      </c>
      <c r="Q96" s="417">
        <f t="shared" si="9"/>
        <v>0.9</v>
      </c>
      <c r="R96" s="417">
        <v>1</v>
      </c>
      <c r="S96" s="41">
        <f t="shared" si="8"/>
        <v>0.7</v>
      </c>
      <c r="T96" s="417">
        <v>0</v>
      </c>
      <c r="U96" s="417">
        <v>0.2</v>
      </c>
      <c r="V96" s="417" t="s">
        <v>140</v>
      </c>
      <c r="W96" s="417">
        <v>0.6</v>
      </c>
      <c r="X96" s="417">
        <v>0.6</v>
      </c>
      <c r="Y96" s="417" t="s">
        <v>141</v>
      </c>
      <c r="Z96" s="417">
        <v>0.1</v>
      </c>
      <c r="AA96" s="82">
        <v>0.1</v>
      </c>
      <c r="AB96" s="82" t="s">
        <v>142</v>
      </c>
      <c r="AC96" s="417">
        <v>0</v>
      </c>
      <c r="AD96" s="138">
        <v>0</v>
      </c>
      <c r="AE96" s="330" t="s">
        <v>141</v>
      </c>
      <c r="AF96" s="417">
        <v>0</v>
      </c>
      <c r="AG96" s="138">
        <v>0</v>
      </c>
      <c r="AH96" s="157" t="s">
        <v>1043</v>
      </c>
      <c r="AI96" s="417">
        <v>0</v>
      </c>
      <c r="AJ96" s="417">
        <v>0</v>
      </c>
      <c r="AK96" s="417" t="s">
        <v>1043</v>
      </c>
      <c r="AL96" s="417">
        <v>0</v>
      </c>
      <c r="AM96" s="417"/>
      <c r="AN96" s="417"/>
      <c r="AO96" s="417">
        <v>0</v>
      </c>
      <c r="AP96" s="417"/>
      <c r="AQ96" s="417"/>
      <c r="AR96" s="417">
        <v>0</v>
      </c>
      <c r="AS96" s="417"/>
      <c r="AT96" s="417"/>
      <c r="AU96" s="417">
        <v>0</v>
      </c>
      <c r="AV96" s="417"/>
      <c r="AW96" s="417"/>
      <c r="AX96" s="417">
        <v>0</v>
      </c>
      <c r="AY96" s="417"/>
      <c r="AZ96" s="417"/>
      <c r="BA96" s="417">
        <v>0</v>
      </c>
      <c r="BB96" s="41"/>
      <c r="BC96" s="41"/>
      <c r="BD96" s="413">
        <f t="shared" si="6"/>
        <v>0.7</v>
      </c>
      <c r="BE96" s="413">
        <f t="shared" si="7"/>
        <v>0.9</v>
      </c>
      <c r="BF96" s="68">
        <f t="shared" si="10"/>
        <v>1.2857142857142858</v>
      </c>
    </row>
    <row r="97" spans="2:59" s="2" customFormat="1" ht="60.75" hidden="1" customHeight="1">
      <c r="B97" s="44" t="s">
        <v>138</v>
      </c>
      <c r="C97" s="27" t="s">
        <v>1044</v>
      </c>
      <c r="D97" s="669"/>
      <c r="E97" s="648"/>
      <c r="F97" s="648"/>
      <c r="G97" s="417" t="s">
        <v>1045</v>
      </c>
      <c r="H97" s="417" t="s">
        <v>531</v>
      </c>
      <c r="I97" s="417">
        <v>0.16300000000000001</v>
      </c>
      <c r="J97" s="417" t="s">
        <v>1042</v>
      </c>
      <c r="K97" s="417" t="s">
        <v>73</v>
      </c>
      <c r="L97" s="417" t="s">
        <v>711</v>
      </c>
      <c r="M97" s="417" t="s">
        <v>726</v>
      </c>
      <c r="N97" s="417" t="s">
        <v>790</v>
      </c>
      <c r="O97" s="40">
        <v>44197</v>
      </c>
      <c r="P97" s="40">
        <v>44561</v>
      </c>
      <c r="Q97" s="417">
        <f t="shared" si="9"/>
        <v>1</v>
      </c>
      <c r="R97" s="417">
        <v>4</v>
      </c>
      <c r="S97" s="41">
        <f t="shared" si="8"/>
        <v>3</v>
      </c>
      <c r="T97" s="417">
        <v>0</v>
      </c>
      <c r="U97" s="417">
        <v>0.25</v>
      </c>
      <c r="V97" s="417" t="s">
        <v>1046</v>
      </c>
      <c r="W97" s="417">
        <v>0.25</v>
      </c>
      <c r="X97" s="417">
        <v>0.25</v>
      </c>
      <c r="Y97" s="417" t="s">
        <v>1047</v>
      </c>
      <c r="Z97" s="417">
        <v>0.25</v>
      </c>
      <c r="AA97" s="82">
        <v>0.25</v>
      </c>
      <c r="AB97" s="82" t="s">
        <v>1048</v>
      </c>
      <c r="AC97" s="417">
        <f>1/R97</f>
        <v>0.25</v>
      </c>
      <c r="AD97" s="330">
        <v>0</v>
      </c>
      <c r="AE97" s="330" t="s">
        <v>1047</v>
      </c>
      <c r="AF97" s="417">
        <v>0.25</v>
      </c>
      <c r="AG97" s="138">
        <v>0.25</v>
      </c>
      <c r="AH97" s="157" t="s">
        <v>1049</v>
      </c>
      <c r="AI97" s="417">
        <v>0</v>
      </c>
      <c r="AJ97" s="417">
        <v>0</v>
      </c>
      <c r="AK97" s="417" t="s">
        <v>1050</v>
      </c>
      <c r="AL97" s="417">
        <v>0</v>
      </c>
      <c r="AM97" s="417"/>
      <c r="AN97" s="417"/>
      <c r="AO97" s="417">
        <v>0</v>
      </c>
      <c r="AP97" s="417"/>
      <c r="AQ97" s="417"/>
      <c r="AR97" s="417">
        <v>1</v>
      </c>
      <c r="AS97" s="417"/>
      <c r="AT97" s="417"/>
      <c r="AU97" s="417">
        <v>0</v>
      </c>
      <c r="AV97" s="417"/>
      <c r="AW97" s="417"/>
      <c r="AX97" s="417">
        <v>1</v>
      </c>
      <c r="AY97" s="417"/>
      <c r="AZ97" s="417"/>
      <c r="BA97" s="417">
        <v>0</v>
      </c>
      <c r="BB97" s="41"/>
      <c r="BC97" s="41"/>
      <c r="BD97" s="413">
        <f t="shared" si="6"/>
        <v>1</v>
      </c>
      <c r="BE97" s="413">
        <f t="shared" si="7"/>
        <v>1</v>
      </c>
      <c r="BF97" s="68">
        <f t="shared" si="10"/>
        <v>1</v>
      </c>
    </row>
    <row r="98" spans="2:59" s="2" customFormat="1" ht="60.75" hidden="1" customHeight="1">
      <c r="B98" s="44" t="s">
        <v>138</v>
      </c>
      <c r="C98" s="27" t="s">
        <v>1051</v>
      </c>
      <c r="D98" s="669"/>
      <c r="E98" s="648"/>
      <c r="F98" s="648"/>
      <c r="G98" s="417" t="s">
        <v>1052</v>
      </c>
      <c r="H98" s="417" t="s">
        <v>472</v>
      </c>
      <c r="I98" s="417">
        <v>0.16700000000000001</v>
      </c>
      <c r="J98" s="417" t="s">
        <v>1042</v>
      </c>
      <c r="K98" s="417" t="s">
        <v>79</v>
      </c>
      <c r="L98" s="417" t="s">
        <v>358</v>
      </c>
      <c r="M98" s="417" t="s">
        <v>726</v>
      </c>
      <c r="N98" s="417" t="s">
        <v>790</v>
      </c>
      <c r="O98" s="40">
        <v>44197</v>
      </c>
      <c r="P98" s="40">
        <v>44561</v>
      </c>
      <c r="Q98" s="137">
        <f t="shared" si="9"/>
        <v>1</v>
      </c>
      <c r="R98" s="417">
        <v>1</v>
      </c>
      <c r="S98" s="41">
        <f t="shared" si="8"/>
        <v>1.4</v>
      </c>
      <c r="T98" s="417">
        <v>0.8</v>
      </c>
      <c r="U98" s="170">
        <v>0.8</v>
      </c>
      <c r="V98" s="417" t="s">
        <v>1053</v>
      </c>
      <c r="W98" s="417">
        <v>0.1</v>
      </c>
      <c r="X98" s="81">
        <v>0.1</v>
      </c>
      <c r="Y98" s="417" t="s">
        <v>1054</v>
      </c>
      <c r="Z98" s="417">
        <v>0.05</v>
      </c>
      <c r="AA98" s="130">
        <v>0.05</v>
      </c>
      <c r="AB98" s="82" t="s">
        <v>1055</v>
      </c>
      <c r="AC98" s="81">
        <v>0.02</v>
      </c>
      <c r="AD98" s="139">
        <v>0.02</v>
      </c>
      <c r="AE98" s="330" t="s">
        <v>1054</v>
      </c>
      <c r="AF98" s="417">
        <v>0.02</v>
      </c>
      <c r="AG98" s="265">
        <v>0.02</v>
      </c>
      <c r="AH98" s="157" t="s">
        <v>1056</v>
      </c>
      <c r="AI98" s="81">
        <v>0.01</v>
      </c>
      <c r="AJ98" s="417">
        <v>0.01</v>
      </c>
      <c r="AK98" s="417" t="s">
        <v>1057</v>
      </c>
      <c r="AL98" s="417">
        <v>0</v>
      </c>
      <c r="AM98" s="417"/>
      <c r="AN98" s="417"/>
      <c r="AO98" s="417">
        <v>0.2</v>
      </c>
      <c r="AP98" s="417"/>
      <c r="AQ98" s="417"/>
      <c r="AR98" s="417">
        <v>0</v>
      </c>
      <c r="AS98" s="417"/>
      <c r="AT98" s="417"/>
      <c r="AU98" s="417">
        <v>0.2</v>
      </c>
      <c r="AV98" s="417"/>
      <c r="AW98" s="417"/>
      <c r="AX98" s="417">
        <v>0</v>
      </c>
      <c r="AY98" s="417"/>
      <c r="AZ98" s="417"/>
      <c r="BA98" s="417">
        <v>0</v>
      </c>
      <c r="BB98" s="41"/>
      <c r="BC98" s="41"/>
      <c r="BD98" s="413">
        <f t="shared" si="6"/>
        <v>1</v>
      </c>
      <c r="BE98" s="413">
        <f t="shared" si="7"/>
        <v>1</v>
      </c>
      <c r="BF98" s="68">
        <f t="shared" si="10"/>
        <v>1</v>
      </c>
    </row>
    <row r="99" spans="2:59" s="2" customFormat="1" ht="60.75" hidden="1" customHeight="1">
      <c r="B99" s="44" t="s">
        <v>138</v>
      </c>
      <c r="C99" s="27" t="s">
        <v>1058</v>
      </c>
      <c r="D99" s="669"/>
      <c r="E99" s="648"/>
      <c r="F99" s="648"/>
      <c r="G99" s="417" t="s">
        <v>1059</v>
      </c>
      <c r="H99" s="417" t="s">
        <v>531</v>
      </c>
      <c r="I99" s="417">
        <v>0.16300000000000001</v>
      </c>
      <c r="J99" s="417" t="s">
        <v>1042</v>
      </c>
      <c r="K99" s="417" t="s">
        <v>73</v>
      </c>
      <c r="L99" s="417" t="s">
        <v>711</v>
      </c>
      <c r="M99" s="417" t="s">
        <v>726</v>
      </c>
      <c r="N99" s="417" t="s">
        <v>790</v>
      </c>
      <c r="O99" s="40">
        <v>44197</v>
      </c>
      <c r="P99" s="40">
        <v>44561</v>
      </c>
      <c r="Q99" s="417">
        <f t="shared" si="9"/>
        <v>0.21000000000000002</v>
      </c>
      <c r="R99" s="417">
        <v>1</v>
      </c>
      <c r="S99" s="41">
        <f t="shared" si="8"/>
        <v>1.21</v>
      </c>
      <c r="T99" s="417">
        <v>0</v>
      </c>
      <c r="U99" s="417">
        <v>0</v>
      </c>
      <c r="V99" s="417" t="s">
        <v>1060</v>
      </c>
      <c r="W99" s="417">
        <v>0.1</v>
      </c>
      <c r="X99" s="417">
        <v>0.1</v>
      </c>
      <c r="Y99" s="417" t="s">
        <v>1061</v>
      </c>
      <c r="Z99" s="417">
        <v>0.05</v>
      </c>
      <c r="AA99" s="82">
        <v>0.05</v>
      </c>
      <c r="AB99" s="82" t="s">
        <v>1062</v>
      </c>
      <c r="AC99" s="81">
        <v>0.02</v>
      </c>
      <c r="AD99" s="389">
        <v>0.02</v>
      </c>
      <c r="AE99" s="330" t="s">
        <v>1061</v>
      </c>
      <c r="AF99" s="81">
        <v>0.03</v>
      </c>
      <c r="AG99" s="265">
        <v>0.03</v>
      </c>
      <c r="AH99" s="157" t="s">
        <v>1063</v>
      </c>
      <c r="AI99" s="81">
        <v>0.01</v>
      </c>
      <c r="AJ99" s="81">
        <v>0.01</v>
      </c>
      <c r="AK99" s="417" t="s">
        <v>1064</v>
      </c>
      <c r="AL99" s="417">
        <v>0</v>
      </c>
      <c r="AM99" s="417"/>
      <c r="AN99" s="417"/>
      <c r="AO99" s="417">
        <v>0</v>
      </c>
      <c r="AP99" s="417"/>
      <c r="AQ99" s="417"/>
      <c r="AR99" s="417">
        <v>1</v>
      </c>
      <c r="AS99" s="417"/>
      <c r="AT99" s="417"/>
      <c r="AU99" s="417">
        <v>0</v>
      </c>
      <c r="AV99" s="417"/>
      <c r="AW99" s="417"/>
      <c r="AX99" s="417">
        <v>0</v>
      </c>
      <c r="AY99" s="417"/>
      <c r="AZ99" s="417"/>
      <c r="BA99" s="417">
        <v>0</v>
      </c>
      <c r="BB99" s="41"/>
      <c r="BC99" s="41"/>
      <c r="BD99" s="413">
        <f t="shared" si="6"/>
        <v>0.21000000000000002</v>
      </c>
      <c r="BE99" s="413">
        <f t="shared" si="7"/>
        <v>0.21000000000000002</v>
      </c>
      <c r="BF99" s="68">
        <f t="shared" si="10"/>
        <v>1</v>
      </c>
    </row>
    <row r="100" spans="2:59" s="2" customFormat="1" ht="60.75" hidden="1" customHeight="1">
      <c r="B100" s="44" t="s">
        <v>138</v>
      </c>
      <c r="C100" s="27" t="s">
        <v>1065</v>
      </c>
      <c r="D100" s="669"/>
      <c r="E100" s="648"/>
      <c r="F100" s="648"/>
      <c r="G100" s="417" t="s">
        <v>1066</v>
      </c>
      <c r="H100" s="417" t="s">
        <v>531</v>
      </c>
      <c r="I100" s="417">
        <v>0.16700000000000001</v>
      </c>
      <c r="J100" s="417" t="s">
        <v>1042</v>
      </c>
      <c r="K100" s="417" t="s">
        <v>73</v>
      </c>
      <c r="L100" s="417" t="s">
        <v>711</v>
      </c>
      <c r="M100" s="417" t="s">
        <v>726</v>
      </c>
      <c r="N100" s="417" t="s">
        <v>790</v>
      </c>
      <c r="O100" s="40">
        <v>44197</v>
      </c>
      <c r="P100" s="40">
        <v>44561</v>
      </c>
      <c r="Q100" s="417">
        <f t="shared" si="9"/>
        <v>0</v>
      </c>
      <c r="R100" s="417">
        <v>1</v>
      </c>
      <c r="S100" s="41">
        <f t="shared" si="8"/>
        <v>1</v>
      </c>
      <c r="T100" s="417">
        <v>0</v>
      </c>
      <c r="U100" s="417">
        <v>0</v>
      </c>
      <c r="V100" s="417" t="s">
        <v>1060</v>
      </c>
      <c r="W100" s="417">
        <v>0</v>
      </c>
      <c r="X100" s="417">
        <v>0</v>
      </c>
      <c r="Y100" s="417" t="s">
        <v>1060</v>
      </c>
      <c r="Z100" s="417">
        <v>0</v>
      </c>
      <c r="AA100" s="82">
        <v>0</v>
      </c>
      <c r="AB100" s="82" t="s">
        <v>1060</v>
      </c>
      <c r="AC100" s="417">
        <v>0</v>
      </c>
      <c r="AD100" s="330">
        <v>0</v>
      </c>
      <c r="AE100" s="330" t="s">
        <v>1060</v>
      </c>
      <c r="AF100" s="417">
        <v>0</v>
      </c>
      <c r="AG100" s="138">
        <v>0</v>
      </c>
      <c r="AH100" s="157" t="s">
        <v>1060</v>
      </c>
      <c r="AI100" s="417">
        <v>0</v>
      </c>
      <c r="AJ100" s="417">
        <v>0</v>
      </c>
      <c r="AK100" s="417" t="s">
        <v>1060</v>
      </c>
      <c r="AL100" s="417">
        <v>0</v>
      </c>
      <c r="AM100" s="417"/>
      <c r="AN100" s="417"/>
      <c r="AO100" s="417">
        <v>0</v>
      </c>
      <c r="AP100" s="417"/>
      <c r="AQ100" s="417"/>
      <c r="AR100" s="417">
        <v>0</v>
      </c>
      <c r="AS100" s="417"/>
      <c r="AT100" s="417"/>
      <c r="AU100" s="417">
        <v>0</v>
      </c>
      <c r="AV100" s="417"/>
      <c r="AW100" s="417"/>
      <c r="AX100" s="417">
        <v>1</v>
      </c>
      <c r="AY100" s="417"/>
      <c r="AZ100" s="417"/>
      <c r="BA100" s="417">
        <v>0</v>
      </c>
      <c r="BB100" s="41"/>
      <c r="BC100" s="41"/>
      <c r="BD100" s="413">
        <f t="shared" si="6"/>
        <v>0</v>
      </c>
      <c r="BE100" s="413">
        <f t="shared" si="7"/>
        <v>0</v>
      </c>
      <c r="BF100" s="68" t="str">
        <f t="shared" si="10"/>
        <v>No programación, No avance</v>
      </c>
    </row>
    <row r="101" spans="2:59" s="2" customFormat="1" ht="60.75" hidden="1" customHeight="1" thickBot="1">
      <c r="B101" s="44" t="s">
        <v>138</v>
      </c>
      <c r="C101" s="27" t="s">
        <v>1067</v>
      </c>
      <c r="D101" s="670"/>
      <c r="E101" s="649"/>
      <c r="F101" s="649"/>
      <c r="G101" s="186" t="s">
        <v>1068</v>
      </c>
      <c r="H101" s="186" t="s">
        <v>472</v>
      </c>
      <c r="I101" s="186">
        <v>0.16300000000000001</v>
      </c>
      <c r="J101" s="186" t="s">
        <v>1042</v>
      </c>
      <c r="K101" s="186" t="s">
        <v>79</v>
      </c>
      <c r="L101" s="186" t="s">
        <v>78</v>
      </c>
      <c r="M101" s="186" t="s">
        <v>726</v>
      </c>
      <c r="N101" s="186" t="s">
        <v>790</v>
      </c>
      <c r="O101" s="187">
        <v>44197</v>
      </c>
      <c r="P101" s="187">
        <v>44561</v>
      </c>
      <c r="Q101" s="186">
        <f t="shared" si="9"/>
        <v>0.32</v>
      </c>
      <c r="R101" s="186">
        <v>1</v>
      </c>
      <c r="S101" s="188">
        <f t="shared" si="8"/>
        <v>0.77</v>
      </c>
      <c r="T101" s="186">
        <v>0</v>
      </c>
      <c r="U101" s="189">
        <v>0</v>
      </c>
      <c r="V101" s="186" t="s">
        <v>1060</v>
      </c>
      <c r="W101" s="186">
        <v>0.05</v>
      </c>
      <c r="X101" s="189">
        <v>0.05</v>
      </c>
      <c r="Y101" s="186" t="s">
        <v>1069</v>
      </c>
      <c r="Z101" s="186">
        <v>0.1</v>
      </c>
      <c r="AA101" s="296">
        <v>0.1</v>
      </c>
      <c r="AB101" s="331" t="s">
        <v>1070</v>
      </c>
      <c r="AC101" s="189">
        <v>0.05</v>
      </c>
      <c r="AD101" s="332">
        <v>0.05</v>
      </c>
      <c r="AE101" s="333" t="s">
        <v>1069</v>
      </c>
      <c r="AF101" s="189">
        <v>7.0000000000000007E-2</v>
      </c>
      <c r="AG101" s="424">
        <v>7.0000000000000007E-2</v>
      </c>
      <c r="AH101" s="425" t="s">
        <v>1071</v>
      </c>
      <c r="AI101" s="189">
        <v>0.05</v>
      </c>
      <c r="AJ101" s="186">
        <v>0.05</v>
      </c>
      <c r="AK101" s="186" t="s">
        <v>1072</v>
      </c>
      <c r="AL101" s="186">
        <v>0.1</v>
      </c>
      <c r="AM101" s="186"/>
      <c r="AN101" s="186"/>
      <c r="AO101" s="186">
        <v>0.1</v>
      </c>
      <c r="AP101" s="186"/>
      <c r="AQ101" s="186"/>
      <c r="AR101" s="186">
        <v>0.1</v>
      </c>
      <c r="AS101" s="186"/>
      <c r="AT101" s="186"/>
      <c r="AU101" s="186">
        <v>0.1</v>
      </c>
      <c r="AV101" s="186"/>
      <c r="AW101" s="186"/>
      <c r="AX101" s="186">
        <v>0.05</v>
      </c>
      <c r="AY101" s="186"/>
      <c r="AZ101" s="186"/>
      <c r="BA101" s="186">
        <v>0</v>
      </c>
      <c r="BB101" s="188"/>
      <c r="BC101" s="188"/>
      <c r="BD101" s="413">
        <f t="shared" si="6"/>
        <v>0.32</v>
      </c>
      <c r="BE101" s="413">
        <f t="shared" si="7"/>
        <v>0.32</v>
      </c>
      <c r="BF101" s="190">
        <f t="shared" si="10"/>
        <v>1</v>
      </c>
    </row>
    <row r="102" spans="2:59" s="2" customFormat="1" ht="35.25" hidden="1" customHeight="1">
      <c r="B102" s="44" t="s">
        <v>144</v>
      </c>
      <c r="C102" s="27" t="s">
        <v>1073</v>
      </c>
      <c r="D102" s="663" t="s">
        <v>145</v>
      </c>
      <c r="E102" s="660" t="s">
        <v>146</v>
      </c>
      <c r="F102" s="666" t="s">
        <v>147</v>
      </c>
      <c r="G102" s="69" t="s">
        <v>1074</v>
      </c>
      <c r="H102" s="69" t="s">
        <v>690</v>
      </c>
      <c r="I102" s="69">
        <v>0.01</v>
      </c>
      <c r="J102" s="69" t="s">
        <v>1075</v>
      </c>
      <c r="K102" s="69" t="s">
        <v>73</v>
      </c>
      <c r="L102" s="69" t="s">
        <v>72</v>
      </c>
      <c r="M102" s="69" t="s">
        <v>1076</v>
      </c>
      <c r="N102" s="69" t="s">
        <v>1077</v>
      </c>
      <c r="O102" s="70">
        <v>44197</v>
      </c>
      <c r="P102" s="70">
        <v>44561</v>
      </c>
      <c r="Q102" s="69">
        <f t="shared" si="9"/>
        <v>0.40539199999999997</v>
      </c>
      <c r="R102" s="191">
        <v>250000</v>
      </c>
      <c r="S102" s="71">
        <f t="shared" si="8"/>
        <v>125000.5</v>
      </c>
      <c r="T102" s="69">
        <v>0</v>
      </c>
      <c r="U102" s="83">
        <v>0</v>
      </c>
      <c r="V102" s="334" t="s">
        <v>1078</v>
      </c>
      <c r="W102" s="69">
        <v>0</v>
      </c>
      <c r="X102" s="83">
        <v>0</v>
      </c>
      <c r="Y102" s="83" t="s">
        <v>1079</v>
      </c>
      <c r="Z102" s="69">
        <v>0</v>
      </c>
      <c r="AA102" s="83">
        <v>0</v>
      </c>
      <c r="AB102" s="83" t="s">
        <v>1080</v>
      </c>
      <c r="AC102" s="69">
        <f>62500/R102</f>
        <v>0.25</v>
      </c>
      <c r="AD102" s="236">
        <f>+(0/62500)*AC102</f>
        <v>0</v>
      </c>
      <c r="AE102" s="335" t="s">
        <v>1081</v>
      </c>
      <c r="AF102" s="69">
        <f>62500/R102</f>
        <v>0.25</v>
      </c>
      <c r="AG102" s="240">
        <f>+(101348/62500)*AF102</f>
        <v>0.40539199999999997</v>
      </c>
      <c r="AH102" s="165" t="s">
        <v>1082</v>
      </c>
      <c r="AI102" s="69">
        <v>0</v>
      </c>
      <c r="AJ102" s="69">
        <v>0</v>
      </c>
      <c r="AK102" s="69" t="s">
        <v>1083</v>
      </c>
      <c r="AL102" s="69">
        <v>0</v>
      </c>
      <c r="AM102" s="69"/>
      <c r="AN102" s="69"/>
      <c r="AO102" s="69">
        <v>0</v>
      </c>
      <c r="AP102" s="69"/>
      <c r="AQ102" s="69"/>
      <c r="AR102" s="69">
        <v>50000</v>
      </c>
      <c r="AS102" s="69"/>
      <c r="AT102" s="69"/>
      <c r="AU102" s="69">
        <v>0</v>
      </c>
      <c r="AV102" s="69"/>
      <c r="AW102" s="69"/>
      <c r="AX102" s="69">
        <v>0</v>
      </c>
      <c r="AY102" s="69"/>
      <c r="AZ102" s="69"/>
      <c r="BA102" s="69">
        <v>75000</v>
      </c>
      <c r="BB102" s="71"/>
      <c r="BC102" s="71"/>
      <c r="BD102" s="413">
        <f t="shared" si="6"/>
        <v>0.5</v>
      </c>
      <c r="BE102" s="413">
        <f t="shared" si="7"/>
        <v>0.40539199999999997</v>
      </c>
      <c r="BF102" s="72">
        <f t="shared" si="10"/>
        <v>0.81078399999999995</v>
      </c>
      <c r="BG102" s="2">
        <f>+AVERAGE(BF102:BF137)</f>
        <v>0.77693549476471713</v>
      </c>
    </row>
    <row r="103" spans="2:59" s="2" customFormat="1" ht="46.5" hidden="1" customHeight="1">
      <c r="B103" s="44" t="s">
        <v>144</v>
      </c>
      <c r="C103" s="27" t="s">
        <v>1084</v>
      </c>
      <c r="D103" s="664"/>
      <c r="E103" s="661"/>
      <c r="F103" s="667"/>
      <c r="G103" s="417" t="s">
        <v>1085</v>
      </c>
      <c r="H103" s="417" t="s">
        <v>690</v>
      </c>
      <c r="I103" s="417">
        <v>0.02</v>
      </c>
      <c r="J103" s="417" t="s">
        <v>1086</v>
      </c>
      <c r="K103" s="417" t="s">
        <v>73</v>
      </c>
      <c r="L103" s="417" t="s">
        <v>72</v>
      </c>
      <c r="M103" s="417" t="s">
        <v>1076</v>
      </c>
      <c r="N103" s="417" t="s">
        <v>1077</v>
      </c>
      <c r="O103" s="40">
        <v>44197</v>
      </c>
      <c r="P103" s="40">
        <v>44561</v>
      </c>
      <c r="Q103" s="417">
        <f t="shared" si="9"/>
        <v>0.31903999999999999</v>
      </c>
      <c r="R103" s="417">
        <v>25000</v>
      </c>
      <c r="S103" s="41">
        <f t="shared" si="8"/>
        <v>15000.48</v>
      </c>
      <c r="T103" s="417">
        <f>2000/R103</f>
        <v>0.08</v>
      </c>
      <c r="U103" s="82">
        <f>+(1393/2000)*T103</f>
        <v>5.5719999999999999E-2</v>
      </c>
      <c r="V103" s="82" t="s">
        <v>1087</v>
      </c>
      <c r="W103" s="417">
        <f>2000/R103</f>
        <v>0.08</v>
      </c>
      <c r="X103" s="82">
        <f>+(1311/2000)*W103</f>
        <v>5.2440000000000001E-2</v>
      </c>
      <c r="Y103" s="82" t="s">
        <v>1088</v>
      </c>
      <c r="Z103" s="417">
        <f>2000/R103</f>
        <v>0.08</v>
      </c>
      <c r="AA103" s="82">
        <f>+(1511/2000)*Z103</f>
        <v>6.0440000000000001E-2</v>
      </c>
      <c r="AB103" s="82" t="s">
        <v>1089</v>
      </c>
      <c r="AC103" s="417">
        <f>2000/25000</f>
        <v>0.08</v>
      </c>
      <c r="AD103" s="237">
        <f>(1378/2000)*AC103</f>
        <v>5.5119999999999995E-2</v>
      </c>
      <c r="AE103" s="330" t="s">
        <v>1090</v>
      </c>
      <c r="AF103" s="417">
        <f>2000/25000</f>
        <v>0.08</v>
      </c>
      <c r="AG103" s="138">
        <v>0</v>
      </c>
      <c r="AH103" s="157" t="s">
        <v>1091</v>
      </c>
      <c r="AI103" s="417">
        <f>2000/R103</f>
        <v>0.08</v>
      </c>
      <c r="AJ103" s="417">
        <f>+(2383/2000)*AI103</f>
        <v>9.5320000000000002E-2</v>
      </c>
      <c r="AK103" s="417" t="s">
        <v>1092</v>
      </c>
      <c r="AL103" s="417">
        <v>3000</v>
      </c>
      <c r="AM103" s="417"/>
      <c r="AN103" s="417"/>
      <c r="AO103" s="417">
        <v>3000</v>
      </c>
      <c r="AP103" s="417"/>
      <c r="AQ103" s="417"/>
      <c r="AR103" s="417">
        <v>3000</v>
      </c>
      <c r="AS103" s="417"/>
      <c r="AT103" s="417"/>
      <c r="AU103" s="417">
        <v>3000</v>
      </c>
      <c r="AV103" s="417"/>
      <c r="AW103" s="417"/>
      <c r="AX103" s="417">
        <v>2000</v>
      </c>
      <c r="AY103" s="417"/>
      <c r="AZ103" s="417"/>
      <c r="BA103" s="417">
        <v>1000</v>
      </c>
      <c r="BB103" s="41"/>
      <c r="BC103" s="41"/>
      <c r="BD103" s="413">
        <f t="shared" si="6"/>
        <v>0.48000000000000004</v>
      </c>
      <c r="BE103" s="413">
        <f t="shared" si="7"/>
        <v>0.31903999999999999</v>
      </c>
      <c r="BF103" s="68">
        <f t="shared" si="10"/>
        <v>0.66466666666666663</v>
      </c>
    </row>
    <row r="104" spans="2:59" s="2" customFormat="1" ht="48" hidden="1" customHeight="1">
      <c r="B104" s="44" t="s">
        <v>149</v>
      </c>
      <c r="C104" s="27" t="s">
        <v>1093</v>
      </c>
      <c r="D104" s="664"/>
      <c r="E104" s="661"/>
      <c r="F104" s="661" t="s">
        <v>1094</v>
      </c>
      <c r="G104" s="414" t="s">
        <v>1095</v>
      </c>
      <c r="H104" s="414" t="s">
        <v>472</v>
      </c>
      <c r="I104" s="414">
        <v>0.01</v>
      </c>
      <c r="J104" s="414" t="s">
        <v>148</v>
      </c>
      <c r="K104" s="414" t="s">
        <v>73</v>
      </c>
      <c r="L104" s="414" t="s">
        <v>72</v>
      </c>
      <c r="M104" s="414" t="s">
        <v>1076</v>
      </c>
      <c r="N104" s="414" t="s">
        <v>1096</v>
      </c>
      <c r="O104" s="59">
        <v>44197</v>
      </c>
      <c r="P104" s="59">
        <v>44561</v>
      </c>
      <c r="Q104" s="414">
        <f t="shared" si="9"/>
        <v>0</v>
      </c>
      <c r="R104" s="414">
        <v>1</v>
      </c>
      <c r="S104" s="142">
        <f t="shared" si="8"/>
        <v>1</v>
      </c>
      <c r="T104" s="414">
        <v>0</v>
      </c>
      <c r="U104" s="61">
        <v>0</v>
      </c>
      <c r="V104" s="61" t="s">
        <v>1097</v>
      </c>
      <c r="W104" s="414">
        <v>0</v>
      </c>
      <c r="X104" s="61">
        <v>0</v>
      </c>
      <c r="Y104" s="61" t="s">
        <v>1098</v>
      </c>
      <c r="Z104" s="414">
        <v>0</v>
      </c>
      <c r="AA104" s="61">
        <v>0</v>
      </c>
      <c r="AB104" s="61" t="s">
        <v>1099</v>
      </c>
      <c r="AC104" s="414">
        <v>0</v>
      </c>
      <c r="AD104" s="382">
        <v>0</v>
      </c>
      <c r="AE104" s="336" t="s">
        <v>1099</v>
      </c>
      <c r="AF104" s="159">
        <v>0</v>
      </c>
      <c r="AG104" s="252">
        <v>0</v>
      </c>
      <c r="AH104" s="158" t="s">
        <v>1099</v>
      </c>
      <c r="AI104" s="414">
        <v>0</v>
      </c>
      <c r="AJ104" s="414">
        <v>0</v>
      </c>
      <c r="AK104" s="414" t="s">
        <v>1100</v>
      </c>
      <c r="AL104" s="414">
        <v>0</v>
      </c>
      <c r="AM104" s="414"/>
      <c r="AN104" s="414"/>
      <c r="AO104" s="414">
        <v>0</v>
      </c>
      <c r="AP104" s="414"/>
      <c r="AQ104" s="414"/>
      <c r="AR104" s="414">
        <v>0</v>
      </c>
      <c r="AS104" s="414"/>
      <c r="AT104" s="414"/>
      <c r="AU104" s="414">
        <v>0</v>
      </c>
      <c r="AV104" s="414"/>
      <c r="AW104" s="414"/>
      <c r="AX104" s="414">
        <v>0</v>
      </c>
      <c r="AY104" s="414"/>
      <c r="AZ104" s="414"/>
      <c r="BA104" s="137">
        <v>1</v>
      </c>
      <c r="BB104" s="142"/>
      <c r="BC104" s="142"/>
      <c r="BD104" s="413">
        <f t="shared" si="6"/>
        <v>0</v>
      </c>
      <c r="BE104" s="413">
        <f t="shared" si="7"/>
        <v>0</v>
      </c>
      <c r="BF104" s="60" t="str">
        <f t="shared" si="10"/>
        <v>No programación, No avance</v>
      </c>
    </row>
    <row r="105" spans="2:59" s="2" customFormat="1" ht="60" hidden="1">
      <c r="B105" s="44" t="s">
        <v>149</v>
      </c>
      <c r="C105" s="27" t="s">
        <v>1101</v>
      </c>
      <c r="D105" s="664"/>
      <c r="E105" s="661"/>
      <c r="F105" s="661"/>
      <c r="G105" s="414" t="s">
        <v>1102</v>
      </c>
      <c r="H105" s="414" t="s">
        <v>472</v>
      </c>
      <c r="I105" s="414">
        <v>0.01</v>
      </c>
      <c r="J105" s="414" t="s">
        <v>148</v>
      </c>
      <c r="K105" s="414" t="s">
        <v>73</v>
      </c>
      <c r="L105" s="414" t="s">
        <v>72</v>
      </c>
      <c r="M105" s="414" t="s">
        <v>1076</v>
      </c>
      <c r="N105" s="414" t="s">
        <v>1077</v>
      </c>
      <c r="O105" s="59">
        <v>44197</v>
      </c>
      <c r="P105" s="59">
        <v>44561</v>
      </c>
      <c r="Q105" s="414">
        <f t="shared" si="9"/>
        <v>0</v>
      </c>
      <c r="R105" s="414">
        <v>6</v>
      </c>
      <c r="S105" s="142">
        <f t="shared" si="8"/>
        <v>1</v>
      </c>
      <c r="T105" s="414">
        <v>0</v>
      </c>
      <c r="U105" s="61">
        <v>0</v>
      </c>
      <c r="V105" s="61" t="s">
        <v>1103</v>
      </c>
      <c r="W105" s="414">
        <v>0</v>
      </c>
      <c r="X105" s="61">
        <v>0</v>
      </c>
      <c r="Y105" s="61" t="s">
        <v>1104</v>
      </c>
      <c r="Z105" s="414">
        <v>0</v>
      </c>
      <c r="AA105" s="61">
        <v>0</v>
      </c>
      <c r="AB105" s="61" t="s">
        <v>1105</v>
      </c>
      <c r="AC105" s="414">
        <v>0</v>
      </c>
      <c r="AD105" s="382">
        <v>0</v>
      </c>
      <c r="AE105" s="336" t="s">
        <v>1105</v>
      </c>
      <c r="AF105" s="159">
        <v>0</v>
      </c>
      <c r="AG105" s="252">
        <v>0</v>
      </c>
      <c r="AH105" s="158" t="s">
        <v>1105</v>
      </c>
      <c r="AI105" s="414">
        <f>6/R105</f>
        <v>1</v>
      </c>
      <c r="AJ105" s="414">
        <v>0</v>
      </c>
      <c r="AK105" s="414" t="s">
        <v>1106</v>
      </c>
      <c r="AL105" s="414">
        <v>0</v>
      </c>
      <c r="AM105" s="414"/>
      <c r="AN105" s="414"/>
      <c r="AO105" s="414">
        <v>0</v>
      </c>
      <c r="AP105" s="414"/>
      <c r="AQ105" s="414"/>
      <c r="AR105" s="414">
        <v>0</v>
      </c>
      <c r="AS105" s="414"/>
      <c r="AT105" s="414"/>
      <c r="AU105" s="414">
        <v>0</v>
      </c>
      <c r="AV105" s="414"/>
      <c r="AW105" s="414"/>
      <c r="AX105" s="414">
        <v>0</v>
      </c>
      <c r="AY105" s="414"/>
      <c r="AZ105" s="414"/>
      <c r="BA105" s="137">
        <v>0</v>
      </c>
      <c r="BB105" s="142"/>
      <c r="BC105" s="142"/>
      <c r="BD105" s="413">
        <f t="shared" si="6"/>
        <v>1</v>
      </c>
      <c r="BE105" s="413">
        <f t="shared" si="7"/>
        <v>0</v>
      </c>
      <c r="BF105" s="60">
        <f t="shared" si="10"/>
        <v>0</v>
      </c>
    </row>
    <row r="106" spans="2:59" s="2" customFormat="1" ht="39" hidden="1" customHeight="1">
      <c r="B106" s="44" t="s">
        <v>150</v>
      </c>
      <c r="C106" s="27" t="s">
        <v>1107</v>
      </c>
      <c r="D106" s="664"/>
      <c r="E106" s="661" t="s">
        <v>151</v>
      </c>
      <c r="F106" s="661" t="s">
        <v>1108</v>
      </c>
      <c r="G106" s="414" t="s">
        <v>1109</v>
      </c>
      <c r="H106" s="414" t="s">
        <v>531</v>
      </c>
      <c r="I106" s="414">
        <v>0.02</v>
      </c>
      <c r="J106" s="414" t="s">
        <v>1110</v>
      </c>
      <c r="K106" s="414" t="s">
        <v>73</v>
      </c>
      <c r="L106" s="414" t="s">
        <v>902</v>
      </c>
      <c r="M106" s="414" t="s">
        <v>1076</v>
      </c>
      <c r="N106" s="414" t="s">
        <v>1096</v>
      </c>
      <c r="O106" s="59">
        <v>44197</v>
      </c>
      <c r="P106" s="59">
        <v>44561</v>
      </c>
      <c r="Q106" s="414">
        <f t="shared" si="9"/>
        <v>1</v>
      </c>
      <c r="R106" s="414">
        <v>1</v>
      </c>
      <c r="S106" s="142">
        <f t="shared" si="8"/>
        <v>1</v>
      </c>
      <c r="T106" s="414">
        <v>0</v>
      </c>
      <c r="U106" s="61">
        <v>0</v>
      </c>
      <c r="V106" s="61" t="s">
        <v>1111</v>
      </c>
      <c r="W106" s="414">
        <v>0</v>
      </c>
      <c r="X106" s="61">
        <v>0</v>
      </c>
      <c r="Y106" s="61" t="s">
        <v>1111</v>
      </c>
      <c r="Z106" s="414">
        <v>0</v>
      </c>
      <c r="AA106" s="61">
        <v>0</v>
      </c>
      <c r="AB106" s="61" t="s">
        <v>1112</v>
      </c>
      <c r="AC106" s="414">
        <v>0</v>
      </c>
      <c r="AD106" s="382">
        <v>1</v>
      </c>
      <c r="AE106" s="336" t="s">
        <v>1113</v>
      </c>
      <c r="AF106" s="159">
        <v>0</v>
      </c>
      <c r="AG106" s="263">
        <v>0</v>
      </c>
      <c r="AH106" s="160" t="s">
        <v>1114</v>
      </c>
      <c r="AI106" s="414">
        <v>1</v>
      </c>
      <c r="AJ106" s="414">
        <v>0</v>
      </c>
      <c r="AK106" s="414" t="s">
        <v>1114</v>
      </c>
      <c r="AL106" s="414">
        <v>0</v>
      </c>
      <c r="AM106" s="414"/>
      <c r="AN106" s="414"/>
      <c r="AO106" s="414">
        <v>0</v>
      </c>
      <c r="AP106" s="414"/>
      <c r="AQ106" s="414"/>
      <c r="AR106" s="414">
        <v>0</v>
      </c>
      <c r="AS106" s="414"/>
      <c r="AT106" s="414"/>
      <c r="AU106" s="414">
        <v>0</v>
      </c>
      <c r="AV106" s="414"/>
      <c r="AW106" s="414"/>
      <c r="AX106" s="414">
        <v>0</v>
      </c>
      <c r="AY106" s="414"/>
      <c r="AZ106" s="414"/>
      <c r="BA106" s="137">
        <v>0</v>
      </c>
      <c r="BB106" s="142"/>
      <c r="BC106" s="142"/>
      <c r="BD106" s="413">
        <f t="shared" si="6"/>
        <v>1</v>
      </c>
      <c r="BE106" s="413">
        <f t="shared" si="7"/>
        <v>1</v>
      </c>
      <c r="BF106" s="60">
        <f t="shared" si="10"/>
        <v>1</v>
      </c>
    </row>
    <row r="107" spans="2:59" s="2" customFormat="1" ht="156" hidden="1">
      <c r="B107" s="44" t="s">
        <v>150</v>
      </c>
      <c r="C107" s="27" t="s">
        <v>1115</v>
      </c>
      <c r="D107" s="664"/>
      <c r="E107" s="661"/>
      <c r="F107" s="661"/>
      <c r="G107" s="414" t="s">
        <v>1116</v>
      </c>
      <c r="H107" s="414" t="s">
        <v>531</v>
      </c>
      <c r="I107" s="414">
        <v>0.02</v>
      </c>
      <c r="J107" s="414" t="s">
        <v>1110</v>
      </c>
      <c r="K107" s="414" t="s">
        <v>73</v>
      </c>
      <c r="L107" s="414" t="s">
        <v>902</v>
      </c>
      <c r="M107" s="414" t="s">
        <v>1076</v>
      </c>
      <c r="N107" s="414" t="s">
        <v>1077</v>
      </c>
      <c r="O107" s="59">
        <v>44197</v>
      </c>
      <c r="P107" s="59">
        <v>44561</v>
      </c>
      <c r="Q107" s="414">
        <f t="shared" si="9"/>
        <v>1</v>
      </c>
      <c r="R107" s="414">
        <v>1</v>
      </c>
      <c r="S107" s="142">
        <f t="shared" si="8"/>
        <v>1</v>
      </c>
      <c r="T107" s="414">
        <v>0</v>
      </c>
      <c r="U107" s="61">
        <v>0</v>
      </c>
      <c r="V107" s="61" t="s">
        <v>1111</v>
      </c>
      <c r="W107" s="414">
        <v>0</v>
      </c>
      <c r="X107" s="61">
        <v>0</v>
      </c>
      <c r="Y107" s="61" t="s">
        <v>1111</v>
      </c>
      <c r="Z107" s="414">
        <v>0</v>
      </c>
      <c r="AA107" s="61">
        <v>0</v>
      </c>
      <c r="AB107" s="61" t="s">
        <v>1112</v>
      </c>
      <c r="AC107" s="414">
        <v>0</v>
      </c>
      <c r="AD107" s="382">
        <v>1</v>
      </c>
      <c r="AE107" s="336" t="s">
        <v>1113</v>
      </c>
      <c r="AF107" s="159">
        <v>0</v>
      </c>
      <c r="AG107" s="264">
        <v>0</v>
      </c>
      <c r="AH107" s="161" t="s">
        <v>1114</v>
      </c>
      <c r="AI107" s="414">
        <v>1</v>
      </c>
      <c r="AJ107" s="414">
        <v>0</v>
      </c>
      <c r="AK107" s="414" t="s">
        <v>1114</v>
      </c>
      <c r="AL107" s="414">
        <v>0</v>
      </c>
      <c r="AM107" s="414"/>
      <c r="AN107" s="414"/>
      <c r="AO107" s="414">
        <v>0</v>
      </c>
      <c r="AP107" s="414"/>
      <c r="AQ107" s="414"/>
      <c r="AR107" s="414">
        <v>0</v>
      </c>
      <c r="AS107" s="414"/>
      <c r="AT107" s="414"/>
      <c r="AU107" s="414">
        <v>0</v>
      </c>
      <c r="AV107" s="414"/>
      <c r="AW107" s="414"/>
      <c r="AX107" s="414">
        <v>0</v>
      </c>
      <c r="AY107" s="414"/>
      <c r="AZ107" s="414"/>
      <c r="BA107" s="137">
        <v>0</v>
      </c>
      <c r="BB107" s="142"/>
      <c r="BC107" s="142"/>
      <c r="BD107" s="413">
        <f t="shared" si="6"/>
        <v>1</v>
      </c>
      <c r="BE107" s="413">
        <f t="shared" si="7"/>
        <v>1</v>
      </c>
      <c r="BF107" s="60">
        <f t="shared" si="10"/>
        <v>1</v>
      </c>
    </row>
    <row r="108" spans="2:59" s="2" customFormat="1" ht="72" hidden="1">
      <c r="B108" s="44" t="s">
        <v>150</v>
      </c>
      <c r="C108" s="27" t="s">
        <v>1117</v>
      </c>
      <c r="D108" s="664"/>
      <c r="E108" s="661"/>
      <c r="F108" s="661"/>
      <c r="G108" s="414" t="s">
        <v>1118</v>
      </c>
      <c r="H108" s="414" t="s">
        <v>531</v>
      </c>
      <c r="I108" s="414">
        <v>0.04</v>
      </c>
      <c r="J108" s="414" t="s">
        <v>1110</v>
      </c>
      <c r="K108" s="414" t="s">
        <v>73</v>
      </c>
      <c r="L108" s="414" t="s">
        <v>902</v>
      </c>
      <c r="M108" s="414" t="s">
        <v>1076</v>
      </c>
      <c r="N108" s="414" t="s">
        <v>1077</v>
      </c>
      <c r="O108" s="59">
        <v>44197</v>
      </c>
      <c r="P108" s="59">
        <v>44561</v>
      </c>
      <c r="Q108" s="414">
        <f t="shared" si="9"/>
        <v>1</v>
      </c>
      <c r="R108" s="414">
        <v>1</v>
      </c>
      <c r="S108" s="142">
        <f t="shared" si="8"/>
        <v>1</v>
      </c>
      <c r="T108" s="414">
        <v>0</v>
      </c>
      <c r="U108" s="61">
        <v>0</v>
      </c>
      <c r="V108" s="61" t="s">
        <v>1119</v>
      </c>
      <c r="W108" s="414">
        <v>0</v>
      </c>
      <c r="X108" s="61">
        <v>0</v>
      </c>
      <c r="Y108" s="61" t="s">
        <v>1119</v>
      </c>
      <c r="Z108" s="414">
        <v>0</v>
      </c>
      <c r="AA108" s="61">
        <v>0</v>
      </c>
      <c r="AB108" s="61" t="s">
        <v>1120</v>
      </c>
      <c r="AC108" s="414">
        <v>0</v>
      </c>
      <c r="AD108" s="382">
        <v>1</v>
      </c>
      <c r="AE108" s="336" t="s">
        <v>1121</v>
      </c>
      <c r="AF108" s="159">
        <v>0</v>
      </c>
      <c r="AG108" s="263">
        <v>0</v>
      </c>
      <c r="AH108" s="160" t="s">
        <v>1114</v>
      </c>
      <c r="AI108" s="414">
        <v>0</v>
      </c>
      <c r="AJ108" s="414">
        <v>0</v>
      </c>
      <c r="AK108" s="414" t="s">
        <v>1114</v>
      </c>
      <c r="AL108" s="414">
        <v>0</v>
      </c>
      <c r="AM108" s="414"/>
      <c r="AN108" s="414"/>
      <c r="AO108" s="414">
        <v>0</v>
      </c>
      <c r="AP108" s="414"/>
      <c r="AQ108" s="414"/>
      <c r="AR108" s="414">
        <v>0</v>
      </c>
      <c r="AS108" s="414"/>
      <c r="AT108" s="414"/>
      <c r="AU108" s="414">
        <v>1</v>
      </c>
      <c r="AV108" s="414"/>
      <c r="AW108" s="414"/>
      <c r="AX108" s="414">
        <v>0</v>
      </c>
      <c r="AY108" s="414"/>
      <c r="AZ108" s="414"/>
      <c r="BA108" s="137">
        <v>0</v>
      </c>
      <c r="BB108" s="142"/>
      <c r="BC108" s="142"/>
      <c r="BD108" s="413">
        <f t="shared" si="6"/>
        <v>0</v>
      </c>
      <c r="BE108" s="413">
        <f t="shared" si="7"/>
        <v>1</v>
      </c>
      <c r="BF108" s="60">
        <f t="shared" si="10"/>
        <v>1</v>
      </c>
    </row>
    <row r="109" spans="2:59" s="2" customFormat="1" ht="132" hidden="1">
      <c r="B109" s="44" t="s">
        <v>150</v>
      </c>
      <c r="C109" s="27" t="s">
        <v>1122</v>
      </c>
      <c r="D109" s="664"/>
      <c r="E109" s="661"/>
      <c r="F109" s="661"/>
      <c r="G109" s="414" t="s">
        <v>1123</v>
      </c>
      <c r="H109" s="414" t="s">
        <v>531</v>
      </c>
      <c r="I109" s="414">
        <v>0.04</v>
      </c>
      <c r="J109" s="414" t="s">
        <v>1110</v>
      </c>
      <c r="K109" s="414" t="s">
        <v>73</v>
      </c>
      <c r="L109" s="414" t="s">
        <v>902</v>
      </c>
      <c r="M109" s="414" t="s">
        <v>1076</v>
      </c>
      <c r="N109" s="414" t="s">
        <v>1096</v>
      </c>
      <c r="O109" s="59">
        <v>44197</v>
      </c>
      <c r="P109" s="59">
        <v>44561</v>
      </c>
      <c r="Q109" s="414">
        <f t="shared" si="9"/>
        <v>0</v>
      </c>
      <c r="R109" s="414">
        <v>1</v>
      </c>
      <c r="S109" s="142">
        <f t="shared" si="8"/>
        <v>1</v>
      </c>
      <c r="T109" s="414">
        <v>0</v>
      </c>
      <c r="U109" s="61">
        <v>0</v>
      </c>
      <c r="V109" s="61" t="s">
        <v>1124</v>
      </c>
      <c r="W109" s="414">
        <v>0</v>
      </c>
      <c r="X109" s="61">
        <v>0</v>
      </c>
      <c r="Y109" s="61" t="s">
        <v>1124</v>
      </c>
      <c r="Z109" s="414">
        <v>0</v>
      </c>
      <c r="AA109" s="61">
        <v>0</v>
      </c>
      <c r="AB109" s="61" t="s">
        <v>1124</v>
      </c>
      <c r="AC109" s="414">
        <v>0</v>
      </c>
      <c r="AD109" s="382">
        <v>0</v>
      </c>
      <c r="AE109" s="336" t="s">
        <v>1125</v>
      </c>
      <c r="AF109" s="159">
        <v>0</v>
      </c>
      <c r="AG109" s="252">
        <v>0</v>
      </c>
      <c r="AH109" s="158" t="s">
        <v>1125</v>
      </c>
      <c r="AI109" s="414">
        <v>0</v>
      </c>
      <c r="AJ109" s="414">
        <v>0</v>
      </c>
      <c r="AK109" s="414" t="s">
        <v>1126</v>
      </c>
      <c r="AL109" s="414">
        <v>0</v>
      </c>
      <c r="AM109" s="414"/>
      <c r="AN109" s="414"/>
      <c r="AO109" s="414">
        <v>0</v>
      </c>
      <c r="AP109" s="414"/>
      <c r="AQ109" s="414"/>
      <c r="AR109" s="414">
        <v>0</v>
      </c>
      <c r="AS109" s="414"/>
      <c r="AT109" s="414"/>
      <c r="AU109" s="414">
        <v>1</v>
      </c>
      <c r="AV109" s="414"/>
      <c r="AW109" s="414"/>
      <c r="AX109" s="414">
        <v>0</v>
      </c>
      <c r="AY109" s="414"/>
      <c r="AZ109" s="414"/>
      <c r="BA109" s="137">
        <v>0</v>
      </c>
      <c r="BB109" s="142"/>
      <c r="BC109" s="142"/>
      <c r="BD109" s="413">
        <f t="shared" si="6"/>
        <v>0</v>
      </c>
      <c r="BE109" s="413">
        <f t="shared" si="7"/>
        <v>0</v>
      </c>
      <c r="BF109" s="60" t="str">
        <f t="shared" si="10"/>
        <v>No programación, No avance</v>
      </c>
    </row>
    <row r="110" spans="2:59" s="2" customFormat="1" ht="96" hidden="1">
      <c r="B110" s="44" t="s">
        <v>150</v>
      </c>
      <c r="C110" s="27" t="s">
        <v>1127</v>
      </c>
      <c r="D110" s="664"/>
      <c r="E110" s="661"/>
      <c r="F110" s="661"/>
      <c r="G110" s="417" t="s">
        <v>1128</v>
      </c>
      <c r="H110" s="417" t="s">
        <v>531</v>
      </c>
      <c r="I110" s="417">
        <v>0.05</v>
      </c>
      <c r="J110" s="417" t="s">
        <v>1110</v>
      </c>
      <c r="K110" s="417" t="s">
        <v>73</v>
      </c>
      <c r="L110" s="417" t="s">
        <v>902</v>
      </c>
      <c r="M110" s="417" t="s">
        <v>1076</v>
      </c>
      <c r="N110" s="417" t="s">
        <v>1077</v>
      </c>
      <c r="O110" s="40">
        <v>44197</v>
      </c>
      <c r="P110" s="40">
        <v>44561</v>
      </c>
      <c r="Q110" s="417">
        <f t="shared" si="9"/>
        <v>0</v>
      </c>
      <c r="R110" s="417">
        <v>1</v>
      </c>
      <c r="S110" s="41">
        <f t="shared" si="8"/>
        <v>1</v>
      </c>
      <c r="T110" s="417">
        <v>0</v>
      </c>
      <c r="U110" s="82">
        <v>0</v>
      </c>
      <c r="V110" s="82" t="s">
        <v>1129</v>
      </c>
      <c r="W110" s="417">
        <v>0</v>
      </c>
      <c r="X110" s="82">
        <v>0</v>
      </c>
      <c r="Y110" s="82" t="s">
        <v>1130</v>
      </c>
      <c r="Z110" s="417">
        <v>0</v>
      </c>
      <c r="AA110" s="82">
        <v>0</v>
      </c>
      <c r="AB110" s="82" t="s">
        <v>1130</v>
      </c>
      <c r="AC110" s="417">
        <v>0</v>
      </c>
      <c r="AD110" s="237">
        <v>0</v>
      </c>
      <c r="AE110" s="330" t="s">
        <v>1131</v>
      </c>
      <c r="AF110" s="90">
        <v>0</v>
      </c>
      <c r="AG110" s="138">
        <v>0</v>
      </c>
      <c r="AH110" s="157" t="s">
        <v>1132</v>
      </c>
      <c r="AI110" s="417">
        <v>0</v>
      </c>
      <c r="AJ110" s="417">
        <v>0</v>
      </c>
      <c r="AK110" s="417" t="s">
        <v>1132</v>
      </c>
      <c r="AL110" s="417">
        <v>0</v>
      </c>
      <c r="AM110" s="417"/>
      <c r="AN110" s="417"/>
      <c r="AO110" s="417">
        <v>0</v>
      </c>
      <c r="AP110" s="417"/>
      <c r="AQ110" s="417"/>
      <c r="AR110" s="417">
        <v>0</v>
      </c>
      <c r="AS110" s="417"/>
      <c r="AT110" s="417"/>
      <c r="AU110" s="417">
        <v>0</v>
      </c>
      <c r="AV110" s="417"/>
      <c r="AW110" s="417"/>
      <c r="AX110" s="417">
        <v>0</v>
      </c>
      <c r="AY110" s="417"/>
      <c r="AZ110" s="417"/>
      <c r="BA110" s="417">
        <v>1</v>
      </c>
      <c r="BB110" s="41"/>
      <c r="BC110" s="41"/>
      <c r="BD110" s="413">
        <f t="shared" si="6"/>
        <v>0</v>
      </c>
      <c r="BE110" s="413">
        <f t="shared" si="7"/>
        <v>0</v>
      </c>
      <c r="BF110" s="68" t="str">
        <f t="shared" si="10"/>
        <v>No programación, No avance</v>
      </c>
    </row>
    <row r="111" spans="2:59" s="2" customFormat="1" ht="60" hidden="1" customHeight="1">
      <c r="B111" s="44" t="s">
        <v>153</v>
      </c>
      <c r="C111" s="27" t="s">
        <v>1133</v>
      </c>
      <c r="D111" s="664"/>
      <c r="E111" s="661" t="s">
        <v>154</v>
      </c>
      <c r="F111" s="661" t="s">
        <v>1134</v>
      </c>
      <c r="G111" s="414" t="s">
        <v>1135</v>
      </c>
      <c r="H111" s="414" t="s">
        <v>472</v>
      </c>
      <c r="I111" s="414">
        <v>0.03</v>
      </c>
      <c r="J111" s="414" t="s">
        <v>152</v>
      </c>
      <c r="K111" s="414" t="s">
        <v>73</v>
      </c>
      <c r="L111" s="414" t="s">
        <v>72</v>
      </c>
      <c r="M111" s="414" t="s">
        <v>1076</v>
      </c>
      <c r="N111" s="414" t="s">
        <v>1096</v>
      </c>
      <c r="O111" s="59">
        <v>44197</v>
      </c>
      <c r="P111" s="59">
        <v>44561</v>
      </c>
      <c r="Q111" s="414">
        <f t="shared" si="9"/>
        <v>0</v>
      </c>
      <c r="R111" s="414">
        <v>1</v>
      </c>
      <c r="S111" s="142">
        <f t="shared" si="8"/>
        <v>1</v>
      </c>
      <c r="T111" s="414">
        <v>0</v>
      </c>
      <c r="U111" s="61">
        <v>0</v>
      </c>
      <c r="V111" s="61" t="s">
        <v>1136</v>
      </c>
      <c r="W111" s="414">
        <v>0</v>
      </c>
      <c r="X111" s="61">
        <v>0</v>
      </c>
      <c r="Y111" s="61" t="s">
        <v>1136</v>
      </c>
      <c r="Z111" s="414">
        <v>0</v>
      </c>
      <c r="AA111" s="61">
        <v>0</v>
      </c>
      <c r="AB111" s="61" t="s">
        <v>1136</v>
      </c>
      <c r="AC111" s="414">
        <v>0</v>
      </c>
      <c r="AD111" s="382">
        <v>0</v>
      </c>
      <c r="AE111" s="336" t="s">
        <v>1136</v>
      </c>
      <c r="AF111" s="159">
        <v>0</v>
      </c>
      <c r="AG111" s="252">
        <v>0</v>
      </c>
      <c r="AH111" s="158" t="s">
        <v>1136</v>
      </c>
      <c r="AI111" s="414">
        <v>0</v>
      </c>
      <c r="AJ111" s="414">
        <v>0</v>
      </c>
      <c r="AK111" s="414" t="s">
        <v>1137</v>
      </c>
      <c r="AL111" s="414">
        <v>0</v>
      </c>
      <c r="AM111" s="414"/>
      <c r="AN111" s="414"/>
      <c r="AO111" s="414">
        <v>0</v>
      </c>
      <c r="AP111" s="414"/>
      <c r="AQ111" s="414"/>
      <c r="AR111" s="414">
        <v>0</v>
      </c>
      <c r="AS111" s="414"/>
      <c r="AT111" s="414"/>
      <c r="AU111" s="414">
        <v>1</v>
      </c>
      <c r="AV111" s="414"/>
      <c r="AW111" s="414"/>
      <c r="AX111" s="414">
        <v>0</v>
      </c>
      <c r="AY111" s="414"/>
      <c r="AZ111" s="414"/>
      <c r="BA111" s="137">
        <v>0</v>
      </c>
      <c r="BB111" s="142"/>
      <c r="BC111" s="142"/>
      <c r="BD111" s="413">
        <f t="shared" si="6"/>
        <v>0</v>
      </c>
      <c r="BE111" s="413">
        <f t="shared" si="7"/>
        <v>0</v>
      </c>
      <c r="BF111" s="60" t="str">
        <f t="shared" si="10"/>
        <v>No programación, No avance</v>
      </c>
    </row>
    <row r="112" spans="2:59" s="2" customFormat="1" ht="60" hidden="1" customHeight="1">
      <c r="B112" s="44" t="s">
        <v>153</v>
      </c>
      <c r="C112" s="27" t="s">
        <v>1138</v>
      </c>
      <c r="D112" s="664"/>
      <c r="E112" s="661"/>
      <c r="F112" s="661"/>
      <c r="G112" s="414" t="s">
        <v>1139</v>
      </c>
      <c r="H112" s="414" t="s">
        <v>472</v>
      </c>
      <c r="I112" s="414">
        <v>0.03</v>
      </c>
      <c r="J112" s="414" t="s">
        <v>152</v>
      </c>
      <c r="K112" s="414" t="s">
        <v>79</v>
      </c>
      <c r="L112" s="414" t="s">
        <v>1140</v>
      </c>
      <c r="M112" s="414" t="s">
        <v>1076</v>
      </c>
      <c r="N112" s="414" t="s">
        <v>1077</v>
      </c>
      <c r="O112" s="59">
        <v>44197</v>
      </c>
      <c r="P112" s="59">
        <v>44561</v>
      </c>
      <c r="Q112" s="414">
        <f t="shared" si="9"/>
        <v>0</v>
      </c>
      <c r="R112" s="414">
        <v>1</v>
      </c>
      <c r="S112" s="142">
        <f t="shared" si="8"/>
        <v>1</v>
      </c>
      <c r="T112" s="414">
        <v>0</v>
      </c>
      <c r="U112" s="62">
        <v>0</v>
      </c>
      <c r="V112" s="61" t="s">
        <v>1141</v>
      </c>
      <c r="W112" s="414">
        <v>0</v>
      </c>
      <c r="X112" s="62">
        <v>0</v>
      </c>
      <c r="Y112" s="61" t="s">
        <v>1141</v>
      </c>
      <c r="Z112" s="414">
        <v>0</v>
      </c>
      <c r="AA112" s="62">
        <v>0</v>
      </c>
      <c r="AB112" s="61" t="s">
        <v>1142</v>
      </c>
      <c r="AC112" s="414">
        <v>0</v>
      </c>
      <c r="AD112" s="403">
        <v>0</v>
      </c>
      <c r="AE112" s="336" t="s">
        <v>1143</v>
      </c>
      <c r="AF112" s="159">
        <v>0</v>
      </c>
      <c r="AG112" s="251">
        <v>0</v>
      </c>
      <c r="AH112" s="158" t="s">
        <v>1144</v>
      </c>
      <c r="AI112" s="414">
        <v>0.2</v>
      </c>
      <c r="AJ112" s="414">
        <v>0</v>
      </c>
      <c r="AK112" s="414" t="s">
        <v>1145</v>
      </c>
      <c r="AL112" s="414">
        <v>0.2</v>
      </c>
      <c r="AM112" s="414"/>
      <c r="AN112" s="414"/>
      <c r="AO112" s="414">
        <v>0.2</v>
      </c>
      <c r="AP112" s="414"/>
      <c r="AQ112" s="414"/>
      <c r="AR112" s="63">
        <v>0.4</v>
      </c>
      <c r="AS112" s="414"/>
      <c r="AT112" s="414"/>
      <c r="AU112" s="63">
        <v>0</v>
      </c>
      <c r="AV112" s="414"/>
      <c r="AW112" s="414"/>
      <c r="AX112" s="63">
        <v>0</v>
      </c>
      <c r="AY112" s="414"/>
      <c r="AZ112" s="414"/>
      <c r="BA112" s="173">
        <v>0</v>
      </c>
      <c r="BB112" s="142"/>
      <c r="BC112" s="142"/>
      <c r="BD112" s="413">
        <f t="shared" si="6"/>
        <v>0.2</v>
      </c>
      <c r="BE112" s="413">
        <f t="shared" si="7"/>
        <v>0</v>
      </c>
      <c r="BF112" s="60">
        <f t="shared" si="10"/>
        <v>0</v>
      </c>
    </row>
    <row r="113" spans="2:58" s="2" customFormat="1" ht="60" hidden="1" customHeight="1">
      <c r="B113" s="44" t="s">
        <v>155</v>
      </c>
      <c r="C113" s="27" t="s">
        <v>1146</v>
      </c>
      <c r="D113" s="664"/>
      <c r="E113" s="661"/>
      <c r="F113" s="661" t="s">
        <v>1147</v>
      </c>
      <c r="G113" s="414" t="s">
        <v>1148</v>
      </c>
      <c r="H113" s="414" t="s">
        <v>472</v>
      </c>
      <c r="I113" s="414">
        <v>0.01</v>
      </c>
      <c r="J113" s="414" t="s">
        <v>1149</v>
      </c>
      <c r="K113" s="414" t="s">
        <v>79</v>
      </c>
      <c r="L113" s="414" t="s">
        <v>78</v>
      </c>
      <c r="M113" s="414" t="s">
        <v>1150</v>
      </c>
      <c r="N113" s="414" t="s">
        <v>1077</v>
      </c>
      <c r="O113" s="59">
        <v>44197</v>
      </c>
      <c r="P113" s="59">
        <v>44561</v>
      </c>
      <c r="Q113" s="73">
        <f>(U113+X113+AA113+AD113+AG113+AJ113+AM113+AP113+AS113+AV113+AY113+BB113)/5</f>
        <v>1.0512000000000001</v>
      </c>
      <c r="R113" s="414">
        <v>0.9</v>
      </c>
      <c r="S113" s="142">
        <f t="shared" si="8"/>
        <v>10.800000000000002</v>
      </c>
      <c r="T113" s="414">
        <v>0.9</v>
      </c>
      <c r="U113" s="62">
        <v>0.84</v>
      </c>
      <c r="V113" s="61" t="s">
        <v>1151</v>
      </c>
      <c r="W113" s="414">
        <v>0.9</v>
      </c>
      <c r="X113" s="62">
        <v>0.84</v>
      </c>
      <c r="Y113" s="61" t="s">
        <v>1152</v>
      </c>
      <c r="Z113" s="414">
        <v>0.9</v>
      </c>
      <c r="AA113" s="62">
        <v>0.9</v>
      </c>
      <c r="AB113" s="61" t="s">
        <v>1153</v>
      </c>
      <c r="AC113" s="414">
        <v>0.9</v>
      </c>
      <c r="AD113" s="404">
        <v>0.89</v>
      </c>
      <c r="AE113" s="336" t="s">
        <v>1154</v>
      </c>
      <c r="AF113" s="159">
        <v>0.9</v>
      </c>
      <c r="AG113" s="251">
        <v>0.92</v>
      </c>
      <c r="AH113" s="158" t="s">
        <v>1155</v>
      </c>
      <c r="AI113" s="414">
        <v>0.9</v>
      </c>
      <c r="AJ113" s="73">
        <v>0.86599999999999999</v>
      </c>
      <c r="AK113" s="73" t="s">
        <v>1156</v>
      </c>
      <c r="AL113" s="414">
        <v>0.9</v>
      </c>
      <c r="AM113" s="73"/>
      <c r="AN113" s="73"/>
      <c r="AO113" s="414">
        <v>0.9</v>
      </c>
      <c r="AP113" s="73"/>
      <c r="AQ113" s="73"/>
      <c r="AR113" s="414">
        <v>0.9</v>
      </c>
      <c r="AS113" s="73"/>
      <c r="AT113" s="73"/>
      <c r="AU113" s="414">
        <v>0.9</v>
      </c>
      <c r="AV113" s="73"/>
      <c r="AW113" s="73"/>
      <c r="AX113" s="414">
        <v>0.9</v>
      </c>
      <c r="AY113" s="73"/>
      <c r="AZ113" s="73"/>
      <c r="BA113" s="137">
        <v>0.9</v>
      </c>
      <c r="BB113" s="142"/>
      <c r="BC113" s="142"/>
      <c r="BD113" s="229">
        <f>+(+T113+W113+Z113+AC113+AF113+AI113)/6</f>
        <v>0.9</v>
      </c>
      <c r="BE113" s="390">
        <f>(U113+X113+AA113+AD113+AG113+AJ113)/6</f>
        <v>0.876</v>
      </c>
      <c r="BF113" s="60">
        <f t="shared" si="10"/>
        <v>0.97333333333333327</v>
      </c>
    </row>
    <row r="114" spans="2:58" s="2" customFormat="1" ht="60" hidden="1" customHeight="1">
      <c r="B114" s="44" t="s">
        <v>155</v>
      </c>
      <c r="C114" s="27" t="s">
        <v>1157</v>
      </c>
      <c r="D114" s="664"/>
      <c r="E114" s="661"/>
      <c r="F114" s="661"/>
      <c r="G114" s="417" t="s">
        <v>1158</v>
      </c>
      <c r="H114" s="417" t="s">
        <v>531</v>
      </c>
      <c r="I114" s="417">
        <v>0.02</v>
      </c>
      <c r="J114" s="417" t="s">
        <v>152</v>
      </c>
      <c r="K114" s="417" t="s">
        <v>73</v>
      </c>
      <c r="L114" s="417" t="s">
        <v>902</v>
      </c>
      <c r="M114" s="417" t="s">
        <v>426</v>
      </c>
      <c r="N114" s="417" t="s">
        <v>426</v>
      </c>
      <c r="O114" s="40">
        <v>44197</v>
      </c>
      <c r="P114" s="40">
        <v>44561</v>
      </c>
      <c r="Q114" s="417">
        <f t="shared" si="9"/>
        <v>0</v>
      </c>
      <c r="R114" s="417">
        <v>1</v>
      </c>
      <c r="S114" s="41">
        <f t="shared" si="8"/>
        <v>1</v>
      </c>
      <c r="T114" s="417">
        <v>0</v>
      </c>
      <c r="U114" s="82">
        <v>0</v>
      </c>
      <c r="V114" s="82" t="s">
        <v>1159</v>
      </c>
      <c r="W114" s="417">
        <v>0</v>
      </c>
      <c r="X114" s="82">
        <v>0</v>
      </c>
      <c r="Y114" s="82" t="s">
        <v>1159</v>
      </c>
      <c r="Z114" s="417">
        <v>0</v>
      </c>
      <c r="AA114" s="82">
        <v>0</v>
      </c>
      <c r="AB114" s="82" t="s">
        <v>1159</v>
      </c>
      <c r="AC114" s="417">
        <v>0</v>
      </c>
      <c r="AD114" s="237">
        <v>0</v>
      </c>
      <c r="AE114" s="330" t="s">
        <v>1159</v>
      </c>
      <c r="AF114" s="417">
        <v>0</v>
      </c>
      <c r="AG114" s="138">
        <v>0</v>
      </c>
      <c r="AH114" s="157" t="s">
        <v>1159</v>
      </c>
      <c r="AI114" s="417">
        <v>0</v>
      </c>
      <c r="AJ114" s="417">
        <v>0</v>
      </c>
      <c r="AK114" s="417" t="s">
        <v>1159</v>
      </c>
      <c r="AL114" s="417">
        <v>0</v>
      </c>
      <c r="AM114" s="417"/>
      <c r="AN114" s="417"/>
      <c r="AO114" s="417">
        <v>0</v>
      </c>
      <c r="AP114" s="417"/>
      <c r="AQ114" s="417"/>
      <c r="AR114" s="417">
        <v>0</v>
      </c>
      <c r="AS114" s="417"/>
      <c r="AT114" s="417"/>
      <c r="AU114" s="417">
        <v>0</v>
      </c>
      <c r="AV114" s="417"/>
      <c r="AW114" s="417"/>
      <c r="AX114" s="417">
        <v>0</v>
      </c>
      <c r="AY114" s="417"/>
      <c r="AZ114" s="417"/>
      <c r="BA114" s="417">
        <v>1</v>
      </c>
      <c r="BB114" s="41"/>
      <c r="BC114" s="41"/>
      <c r="BD114" s="413">
        <f t="shared" ref="BD114:BD177" si="11">+T114+W114+Z114+AC114+AF114+AI114</f>
        <v>0</v>
      </c>
      <c r="BE114" s="413">
        <f t="shared" ref="BE114:BE177" si="12">+U114+X114+AA114+AD114+AG114+AJ114</f>
        <v>0</v>
      </c>
      <c r="BF114" s="68" t="str">
        <f t="shared" si="10"/>
        <v>No programación, No avance</v>
      </c>
    </row>
    <row r="115" spans="2:58" s="2" customFormat="1" ht="60" hidden="1" customHeight="1">
      <c r="B115" s="44" t="s">
        <v>156</v>
      </c>
      <c r="C115" s="27" t="s">
        <v>1160</v>
      </c>
      <c r="D115" s="664"/>
      <c r="E115" s="661"/>
      <c r="F115" s="414" t="s">
        <v>1161</v>
      </c>
      <c r="G115" s="414" t="s">
        <v>1162</v>
      </c>
      <c r="H115" s="414" t="s">
        <v>531</v>
      </c>
      <c r="I115" s="414">
        <v>0.04</v>
      </c>
      <c r="J115" s="414" t="s">
        <v>152</v>
      </c>
      <c r="K115" s="414" t="s">
        <v>73</v>
      </c>
      <c r="L115" s="414" t="s">
        <v>902</v>
      </c>
      <c r="M115" s="414" t="s">
        <v>1163</v>
      </c>
      <c r="N115" s="414" t="s">
        <v>1164</v>
      </c>
      <c r="O115" s="59">
        <v>44197</v>
      </c>
      <c r="P115" s="59">
        <v>44561</v>
      </c>
      <c r="Q115" s="414">
        <f t="shared" si="9"/>
        <v>0</v>
      </c>
      <c r="R115" s="414">
        <v>1</v>
      </c>
      <c r="S115" s="142">
        <f t="shared" si="8"/>
        <v>1</v>
      </c>
      <c r="T115" s="414">
        <v>0</v>
      </c>
      <c r="U115" s="61">
        <v>0</v>
      </c>
      <c r="V115" s="61" t="s">
        <v>1097</v>
      </c>
      <c r="W115" s="414">
        <v>0</v>
      </c>
      <c r="X115" s="61">
        <v>0</v>
      </c>
      <c r="Y115" s="61" t="s">
        <v>1098</v>
      </c>
      <c r="Z115" s="414">
        <v>0</v>
      </c>
      <c r="AA115" s="61">
        <v>0</v>
      </c>
      <c r="AB115" s="61" t="s">
        <v>1165</v>
      </c>
      <c r="AC115" s="414">
        <v>0</v>
      </c>
      <c r="AD115" s="382">
        <v>0</v>
      </c>
      <c r="AE115" s="336" t="s">
        <v>1166</v>
      </c>
      <c r="AF115" s="162">
        <v>0</v>
      </c>
      <c r="AG115" s="214">
        <v>0</v>
      </c>
      <c r="AH115" s="163" t="s">
        <v>1167</v>
      </c>
      <c r="AI115" s="414">
        <v>0</v>
      </c>
      <c r="AJ115" s="414">
        <v>0</v>
      </c>
      <c r="AK115" s="414" t="s">
        <v>1168</v>
      </c>
      <c r="AL115" s="414">
        <v>0</v>
      </c>
      <c r="AM115" s="414"/>
      <c r="AN115" s="414"/>
      <c r="AO115" s="414">
        <v>1</v>
      </c>
      <c r="AP115" s="414"/>
      <c r="AQ115" s="414"/>
      <c r="AR115" s="414">
        <v>0</v>
      </c>
      <c r="AS115" s="414"/>
      <c r="AT115" s="414"/>
      <c r="AU115" s="414">
        <v>0</v>
      </c>
      <c r="AV115" s="414"/>
      <c r="AW115" s="414"/>
      <c r="AX115" s="414">
        <v>0</v>
      </c>
      <c r="AY115" s="414"/>
      <c r="AZ115" s="414"/>
      <c r="BA115" s="137">
        <v>0</v>
      </c>
      <c r="BB115" s="142"/>
      <c r="BC115" s="142"/>
      <c r="BD115" s="413">
        <f t="shared" si="11"/>
        <v>0</v>
      </c>
      <c r="BE115" s="413">
        <f t="shared" si="12"/>
        <v>0</v>
      </c>
      <c r="BF115" s="60" t="str">
        <f t="shared" si="10"/>
        <v>No programación, No avance</v>
      </c>
    </row>
    <row r="116" spans="2:58" s="2" customFormat="1" ht="60" hidden="1" customHeight="1">
      <c r="B116" s="44" t="s">
        <v>157</v>
      </c>
      <c r="C116" s="27" t="s">
        <v>1169</v>
      </c>
      <c r="D116" s="664"/>
      <c r="E116" s="661"/>
      <c r="F116" s="414" t="s">
        <v>1170</v>
      </c>
      <c r="G116" s="414" t="s">
        <v>1171</v>
      </c>
      <c r="H116" s="414" t="s">
        <v>531</v>
      </c>
      <c r="I116" s="414">
        <v>0.04</v>
      </c>
      <c r="J116" s="414" t="s">
        <v>152</v>
      </c>
      <c r="K116" s="414" t="s">
        <v>73</v>
      </c>
      <c r="L116" s="414" t="s">
        <v>72</v>
      </c>
      <c r="M116" s="414" t="s">
        <v>1172</v>
      </c>
      <c r="N116" s="414" t="s">
        <v>1164</v>
      </c>
      <c r="O116" s="59">
        <v>44197</v>
      </c>
      <c r="P116" s="59">
        <v>44561</v>
      </c>
      <c r="Q116" s="414">
        <f t="shared" si="9"/>
        <v>0</v>
      </c>
      <c r="R116" s="414">
        <v>170</v>
      </c>
      <c r="S116" s="142">
        <f t="shared" si="8"/>
        <v>170</v>
      </c>
      <c r="T116" s="414">
        <v>0</v>
      </c>
      <c r="U116" s="61">
        <v>0</v>
      </c>
      <c r="V116" s="61" t="s">
        <v>1173</v>
      </c>
      <c r="W116" s="414">
        <v>0</v>
      </c>
      <c r="X116" s="61">
        <v>0</v>
      </c>
      <c r="Y116" s="61" t="s">
        <v>1173</v>
      </c>
      <c r="Z116" s="414">
        <v>0</v>
      </c>
      <c r="AA116" s="61">
        <v>0</v>
      </c>
      <c r="AB116" s="61" t="s">
        <v>1173</v>
      </c>
      <c r="AC116" s="414">
        <v>0</v>
      </c>
      <c r="AD116" s="382">
        <v>0</v>
      </c>
      <c r="AE116" s="336" t="s">
        <v>1174</v>
      </c>
      <c r="AF116" s="162">
        <v>0</v>
      </c>
      <c r="AG116" s="214">
        <v>0</v>
      </c>
      <c r="AH116" s="163" t="s">
        <v>1175</v>
      </c>
      <c r="AI116" s="414">
        <v>0</v>
      </c>
      <c r="AJ116" s="414">
        <v>0</v>
      </c>
      <c r="AK116" s="414" t="s">
        <v>1176</v>
      </c>
      <c r="AL116" s="414">
        <v>0</v>
      </c>
      <c r="AM116" s="414"/>
      <c r="AN116" s="414"/>
      <c r="AO116" s="414">
        <v>0</v>
      </c>
      <c r="AP116" s="414"/>
      <c r="AQ116" s="414"/>
      <c r="AR116" s="414">
        <v>0</v>
      </c>
      <c r="AS116" s="414"/>
      <c r="AT116" s="414"/>
      <c r="AU116" s="414">
        <v>0</v>
      </c>
      <c r="AV116" s="414"/>
      <c r="AW116" s="414"/>
      <c r="AX116" s="414">
        <v>0</v>
      </c>
      <c r="AY116" s="414"/>
      <c r="AZ116" s="414"/>
      <c r="BA116" s="137">
        <v>170</v>
      </c>
      <c r="BB116" s="142"/>
      <c r="BC116" s="142"/>
      <c r="BD116" s="413">
        <f t="shared" si="11"/>
        <v>0</v>
      </c>
      <c r="BE116" s="413">
        <f t="shared" si="12"/>
        <v>0</v>
      </c>
      <c r="BF116" s="60" t="str">
        <f t="shared" si="10"/>
        <v>No programación, No avance</v>
      </c>
    </row>
    <row r="117" spans="2:58" s="2" customFormat="1" ht="60" hidden="1" customHeight="1">
      <c r="B117" s="44" t="s">
        <v>158</v>
      </c>
      <c r="C117" s="27" t="s">
        <v>1177</v>
      </c>
      <c r="D117" s="664"/>
      <c r="E117" s="661"/>
      <c r="F117" s="414" t="s">
        <v>1178</v>
      </c>
      <c r="G117" s="414" t="s">
        <v>1179</v>
      </c>
      <c r="H117" s="414" t="s">
        <v>531</v>
      </c>
      <c r="I117" s="414">
        <v>0.04</v>
      </c>
      <c r="J117" s="414" t="s">
        <v>1180</v>
      </c>
      <c r="K117" s="414" t="s">
        <v>73</v>
      </c>
      <c r="L117" s="414" t="s">
        <v>72</v>
      </c>
      <c r="M117" s="414" t="s">
        <v>1150</v>
      </c>
      <c r="N117" s="414" t="s">
        <v>1164</v>
      </c>
      <c r="O117" s="59">
        <v>44197</v>
      </c>
      <c r="P117" s="59">
        <v>44561</v>
      </c>
      <c r="Q117" s="414">
        <f t="shared" si="9"/>
        <v>0</v>
      </c>
      <c r="R117" s="414">
        <v>1</v>
      </c>
      <c r="S117" s="142">
        <f t="shared" si="8"/>
        <v>1</v>
      </c>
      <c r="T117" s="414">
        <v>0</v>
      </c>
      <c r="U117" s="61">
        <v>0</v>
      </c>
      <c r="V117" s="61" t="s">
        <v>1181</v>
      </c>
      <c r="W117" s="414">
        <v>0</v>
      </c>
      <c r="X117" s="61">
        <v>0</v>
      </c>
      <c r="Y117" s="61" t="s">
        <v>1181</v>
      </c>
      <c r="Z117" s="414">
        <v>0</v>
      </c>
      <c r="AA117" s="61">
        <v>0</v>
      </c>
      <c r="AB117" s="61" t="s">
        <v>1182</v>
      </c>
      <c r="AC117" s="414">
        <v>0</v>
      </c>
      <c r="AD117" s="382">
        <v>0</v>
      </c>
      <c r="AE117" s="336" t="s">
        <v>1183</v>
      </c>
      <c r="AF117" s="162">
        <v>0</v>
      </c>
      <c r="AG117" s="214">
        <v>0</v>
      </c>
      <c r="AH117" s="163" t="s">
        <v>1184</v>
      </c>
      <c r="AI117" s="414">
        <v>0</v>
      </c>
      <c r="AJ117" s="414">
        <v>0</v>
      </c>
      <c r="AK117" s="414" t="s">
        <v>1184</v>
      </c>
      <c r="AL117" s="414">
        <v>0</v>
      </c>
      <c r="AM117" s="414"/>
      <c r="AN117" s="414"/>
      <c r="AO117" s="414">
        <v>0</v>
      </c>
      <c r="AP117" s="414"/>
      <c r="AQ117" s="414"/>
      <c r="AR117" s="414">
        <v>0</v>
      </c>
      <c r="AS117" s="414"/>
      <c r="AT117" s="414"/>
      <c r="AU117" s="414">
        <v>1</v>
      </c>
      <c r="AV117" s="414"/>
      <c r="AW117" s="414"/>
      <c r="AX117" s="414">
        <v>0</v>
      </c>
      <c r="AY117" s="414"/>
      <c r="AZ117" s="414"/>
      <c r="BA117" s="137">
        <v>0</v>
      </c>
      <c r="BB117" s="142"/>
      <c r="BC117" s="142"/>
      <c r="BD117" s="413">
        <f t="shared" si="11"/>
        <v>0</v>
      </c>
      <c r="BE117" s="413">
        <f t="shared" si="12"/>
        <v>0</v>
      </c>
      <c r="BF117" s="60" t="str">
        <f t="shared" si="10"/>
        <v>No programación, No avance</v>
      </c>
    </row>
    <row r="118" spans="2:58" s="2" customFormat="1" ht="60" hidden="1" customHeight="1">
      <c r="B118" s="44" t="s">
        <v>159</v>
      </c>
      <c r="C118" s="27" t="s">
        <v>1185</v>
      </c>
      <c r="D118" s="664"/>
      <c r="E118" s="661"/>
      <c r="F118" s="414" t="s">
        <v>1186</v>
      </c>
      <c r="G118" s="414" t="s">
        <v>1187</v>
      </c>
      <c r="H118" s="414" t="s">
        <v>472</v>
      </c>
      <c r="I118" s="414">
        <v>0.02</v>
      </c>
      <c r="J118" s="414" t="s">
        <v>1110</v>
      </c>
      <c r="K118" s="414" t="s">
        <v>73</v>
      </c>
      <c r="L118" s="414" t="s">
        <v>72</v>
      </c>
      <c r="M118" s="414" t="s">
        <v>1150</v>
      </c>
      <c r="N118" s="414" t="s">
        <v>1164</v>
      </c>
      <c r="O118" s="59">
        <v>44197</v>
      </c>
      <c r="P118" s="59">
        <v>44561</v>
      </c>
      <c r="Q118" s="414">
        <f t="shared" si="9"/>
        <v>0</v>
      </c>
      <c r="R118" s="414">
        <v>1</v>
      </c>
      <c r="S118" s="142">
        <f t="shared" si="8"/>
        <v>1</v>
      </c>
      <c r="T118" s="414">
        <v>0</v>
      </c>
      <c r="U118" s="61">
        <v>0</v>
      </c>
      <c r="V118" s="61" t="s">
        <v>1097</v>
      </c>
      <c r="W118" s="414">
        <v>0</v>
      </c>
      <c r="X118" s="61">
        <v>0</v>
      </c>
      <c r="Y118" s="61" t="s">
        <v>1098</v>
      </c>
      <c r="Z118" s="414">
        <v>0</v>
      </c>
      <c r="AA118" s="61">
        <v>0</v>
      </c>
      <c r="AB118" s="61" t="s">
        <v>1165</v>
      </c>
      <c r="AC118" s="414">
        <v>0</v>
      </c>
      <c r="AD118" s="382">
        <v>0</v>
      </c>
      <c r="AE118" s="336" t="s">
        <v>1166</v>
      </c>
      <c r="AF118" s="162">
        <v>0</v>
      </c>
      <c r="AG118" s="214">
        <v>0</v>
      </c>
      <c r="AH118" s="163" t="s">
        <v>1167</v>
      </c>
      <c r="AI118" s="414">
        <v>0</v>
      </c>
      <c r="AJ118" s="414">
        <v>0</v>
      </c>
      <c r="AK118" s="414" t="s">
        <v>1168</v>
      </c>
      <c r="AL118" s="414">
        <v>0</v>
      </c>
      <c r="AM118" s="414"/>
      <c r="AN118" s="414"/>
      <c r="AO118" s="414">
        <v>0</v>
      </c>
      <c r="AP118" s="414"/>
      <c r="AQ118" s="414"/>
      <c r="AR118" s="414">
        <v>0</v>
      </c>
      <c r="AS118" s="414"/>
      <c r="AT118" s="414"/>
      <c r="AU118" s="414">
        <v>0</v>
      </c>
      <c r="AV118" s="414"/>
      <c r="AW118" s="414"/>
      <c r="AX118" s="414">
        <v>0</v>
      </c>
      <c r="AY118" s="414"/>
      <c r="AZ118" s="414"/>
      <c r="BA118" s="137">
        <v>1</v>
      </c>
      <c r="BB118" s="142"/>
      <c r="BC118" s="142"/>
      <c r="BD118" s="413">
        <f t="shared" si="11"/>
        <v>0</v>
      </c>
      <c r="BE118" s="413">
        <f t="shared" si="12"/>
        <v>0</v>
      </c>
      <c r="BF118" s="60" t="str">
        <f t="shared" si="10"/>
        <v>No programación, No avance</v>
      </c>
    </row>
    <row r="119" spans="2:58" s="2" customFormat="1" ht="60" hidden="1" customHeight="1">
      <c r="B119" s="44" t="s">
        <v>160</v>
      </c>
      <c r="C119" s="27" t="s">
        <v>1188</v>
      </c>
      <c r="D119" s="664"/>
      <c r="E119" s="661"/>
      <c r="F119" s="661" t="s">
        <v>1189</v>
      </c>
      <c r="G119" s="417" t="s">
        <v>1190</v>
      </c>
      <c r="H119" s="417" t="s">
        <v>472</v>
      </c>
      <c r="I119" s="417">
        <v>0.03</v>
      </c>
      <c r="J119" s="417" t="s">
        <v>152</v>
      </c>
      <c r="K119" s="417" t="s">
        <v>73</v>
      </c>
      <c r="L119" s="417" t="s">
        <v>72</v>
      </c>
      <c r="M119" s="417" t="s">
        <v>1150</v>
      </c>
      <c r="N119" s="417" t="s">
        <v>1191</v>
      </c>
      <c r="O119" s="40">
        <v>44197</v>
      </c>
      <c r="P119" s="40">
        <v>44561</v>
      </c>
      <c r="Q119" s="417">
        <f t="shared" si="9"/>
        <v>0</v>
      </c>
      <c r="R119" s="417">
        <v>1</v>
      </c>
      <c r="S119" s="41">
        <f t="shared" si="8"/>
        <v>1</v>
      </c>
      <c r="T119" s="417">
        <v>0</v>
      </c>
      <c r="U119" s="82">
        <v>0</v>
      </c>
      <c r="V119" s="82" t="s">
        <v>1192</v>
      </c>
      <c r="W119" s="417">
        <v>0</v>
      </c>
      <c r="X119" s="82">
        <v>0</v>
      </c>
      <c r="Y119" s="82" t="s">
        <v>1193</v>
      </c>
      <c r="Z119" s="417">
        <v>0</v>
      </c>
      <c r="AA119" s="82">
        <v>0</v>
      </c>
      <c r="AB119" s="82" t="s">
        <v>1194</v>
      </c>
      <c r="AC119" s="417">
        <v>0</v>
      </c>
      <c r="AD119" s="237">
        <v>0</v>
      </c>
      <c r="AE119" s="330" t="s">
        <v>1195</v>
      </c>
      <c r="AF119" s="417">
        <v>0</v>
      </c>
      <c r="AG119" s="138">
        <v>0</v>
      </c>
      <c r="AH119" s="157" t="s">
        <v>1196</v>
      </c>
      <c r="AI119" s="417">
        <v>0</v>
      </c>
      <c r="AJ119" s="417">
        <v>0</v>
      </c>
      <c r="AK119" s="417" t="s">
        <v>1197</v>
      </c>
      <c r="AL119" s="417">
        <v>0</v>
      </c>
      <c r="AM119" s="417"/>
      <c r="AN119" s="417"/>
      <c r="AO119" s="417">
        <v>0</v>
      </c>
      <c r="AP119" s="417"/>
      <c r="AQ119" s="417"/>
      <c r="AR119" s="417">
        <v>0</v>
      </c>
      <c r="AS119" s="417"/>
      <c r="AT119" s="417"/>
      <c r="AU119" s="417">
        <v>0</v>
      </c>
      <c r="AV119" s="417"/>
      <c r="AW119" s="417"/>
      <c r="AX119" s="417">
        <v>0</v>
      </c>
      <c r="AY119" s="417"/>
      <c r="AZ119" s="417"/>
      <c r="BA119" s="417">
        <v>1</v>
      </c>
      <c r="BB119" s="41"/>
      <c r="BC119" s="41"/>
      <c r="BD119" s="413">
        <f t="shared" si="11"/>
        <v>0</v>
      </c>
      <c r="BE119" s="413">
        <f t="shared" si="12"/>
        <v>0</v>
      </c>
      <c r="BF119" s="68" t="str">
        <f t="shared" si="10"/>
        <v>No programación, No avance</v>
      </c>
    </row>
    <row r="120" spans="2:58" s="2" customFormat="1" ht="60" hidden="1" customHeight="1">
      <c r="B120" s="44" t="s">
        <v>160</v>
      </c>
      <c r="C120" s="27" t="s">
        <v>1198</v>
      </c>
      <c r="D120" s="664"/>
      <c r="E120" s="661"/>
      <c r="F120" s="661"/>
      <c r="G120" s="417" t="s">
        <v>1199</v>
      </c>
      <c r="H120" s="417" t="s">
        <v>531</v>
      </c>
      <c r="I120" s="417">
        <v>0.01</v>
      </c>
      <c r="J120" s="417" t="s">
        <v>152</v>
      </c>
      <c r="K120" s="417" t="s">
        <v>73</v>
      </c>
      <c r="L120" s="417" t="s">
        <v>72</v>
      </c>
      <c r="M120" s="417" t="s">
        <v>1150</v>
      </c>
      <c r="N120" s="417" t="s">
        <v>1191</v>
      </c>
      <c r="O120" s="40">
        <v>44197</v>
      </c>
      <c r="P120" s="40">
        <v>44561</v>
      </c>
      <c r="Q120" s="417">
        <f t="shared" si="9"/>
        <v>0</v>
      </c>
      <c r="R120" s="417">
        <v>1</v>
      </c>
      <c r="S120" s="41">
        <f t="shared" si="8"/>
        <v>1</v>
      </c>
      <c r="T120" s="417">
        <v>0</v>
      </c>
      <c r="U120" s="82">
        <v>0</v>
      </c>
      <c r="V120" s="82" t="s">
        <v>1200</v>
      </c>
      <c r="W120" s="417">
        <v>0</v>
      </c>
      <c r="X120" s="82">
        <v>0</v>
      </c>
      <c r="Y120" s="82" t="s">
        <v>1200</v>
      </c>
      <c r="Z120" s="417">
        <v>0</v>
      </c>
      <c r="AA120" s="82">
        <v>0</v>
      </c>
      <c r="AB120" s="82" t="s">
        <v>1200</v>
      </c>
      <c r="AC120" s="417">
        <v>0</v>
      </c>
      <c r="AD120" s="237">
        <v>0</v>
      </c>
      <c r="AE120" s="330" t="s">
        <v>1200</v>
      </c>
      <c r="AF120" s="417">
        <v>0</v>
      </c>
      <c r="AG120" s="138">
        <v>0</v>
      </c>
      <c r="AH120" s="157" t="s">
        <v>1201</v>
      </c>
      <c r="AI120" s="417">
        <v>0</v>
      </c>
      <c r="AJ120" s="417">
        <v>0</v>
      </c>
      <c r="AK120" s="417" t="s">
        <v>1201</v>
      </c>
      <c r="AL120" s="417">
        <v>0</v>
      </c>
      <c r="AM120" s="417"/>
      <c r="AN120" s="417"/>
      <c r="AO120" s="417">
        <v>0</v>
      </c>
      <c r="AP120" s="417"/>
      <c r="AQ120" s="417"/>
      <c r="AR120" s="417">
        <v>0</v>
      </c>
      <c r="AS120" s="417"/>
      <c r="AT120" s="417"/>
      <c r="AU120" s="417">
        <v>0</v>
      </c>
      <c r="AV120" s="417"/>
      <c r="AW120" s="417"/>
      <c r="AX120" s="417">
        <v>0</v>
      </c>
      <c r="AY120" s="417"/>
      <c r="AZ120" s="417"/>
      <c r="BA120" s="417">
        <v>1</v>
      </c>
      <c r="BB120" s="41"/>
      <c r="BC120" s="41"/>
      <c r="BD120" s="413">
        <f t="shared" si="11"/>
        <v>0</v>
      </c>
      <c r="BE120" s="413">
        <f t="shared" si="12"/>
        <v>0</v>
      </c>
      <c r="BF120" s="68" t="str">
        <f t="shared" si="10"/>
        <v>No programación, No avance</v>
      </c>
    </row>
    <row r="121" spans="2:58" s="2" customFormat="1" ht="60" hidden="1" customHeight="1">
      <c r="B121" s="44" t="s">
        <v>160</v>
      </c>
      <c r="C121" s="27" t="s">
        <v>1202</v>
      </c>
      <c r="D121" s="664"/>
      <c r="E121" s="661" t="s">
        <v>161</v>
      </c>
      <c r="F121" s="661" t="s">
        <v>162</v>
      </c>
      <c r="G121" s="417" t="s">
        <v>1203</v>
      </c>
      <c r="H121" s="417" t="s">
        <v>531</v>
      </c>
      <c r="I121" s="417">
        <v>0.5</v>
      </c>
      <c r="J121" s="417"/>
      <c r="K121" s="417" t="s">
        <v>73</v>
      </c>
      <c r="L121" s="417" t="s">
        <v>72</v>
      </c>
      <c r="M121" s="417" t="s">
        <v>1150</v>
      </c>
      <c r="N121" s="417" t="s">
        <v>1191</v>
      </c>
      <c r="O121" s="40">
        <v>44197</v>
      </c>
      <c r="P121" s="40">
        <v>44561</v>
      </c>
      <c r="Q121" s="417"/>
      <c r="R121" s="417">
        <v>1</v>
      </c>
      <c r="S121" s="41"/>
      <c r="T121" s="417">
        <v>0</v>
      </c>
      <c r="U121" s="417">
        <v>0</v>
      </c>
      <c r="V121" s="417" t="s">
        <v>1119</v>
      </c>
      <c r="W121" s="417">
        <v>0</v>
      </c>
      <c r="X121" s="417">
        <v>0</v>
      </c>
      <c r="Y121" s="417" t="s">
        <v>1204</v>
      </c>
      <c r="Z121" s="417">
        <v>0</v>
      </c>
      <c r="AA121" s="82">
        <v>0</v>
      </c>
      <c r="AB121" s="82" t="s">
        <v>1120</v>
      </c>
      <c r="AC121" s="417">
        <v>1</v>
      </c>
      <c r="AD121" s="237">
        <v>1</v>
      </c>
      <c r="AE121" s="330" t="s">
        <v>1121</v>
      </c>
      <c r="AF121" s="417">
        <v>0</v>
      </c>
      <c r="AG121" s="138">
        <v>0</v>
      </c>
      <c r="AH121" s="164" t="s">
        <v>1205</v>
      </c>
      <c r="AI121" s="417">
        <v>0</v>
      </c>
      <c r="AJ121" s="417">
        <v>0</v>
      </c>
      <c r="AK121" s="417" t="s">
        <v>1114</v>
      </c>
      <c r="AL121" s="417">
        <v>0</v>
      </c>
      <c r="AM121" s="417"/>
      <c r="AN121" s="417"/>
      <c r="AO121" s="417">
        <v>0</v>
      </c>
      <c r="AP121" s="417"/>
      <c r="AQ121" s="417"/>
      <c r="AR121" s="417">
        <v>0</v>
      </c>
      <c r="AS121" s="417"/>
      <c r="AT121" s="417"/>
      <c r="AU121" s="417">
        <v>0</v>
      </c>
      <c r="AV121" s="417"/>
      <c r="AW121" s="417"/>
      <c r="AX121" s="417">
        <v>0</v>
      </c>
      <c r="AY121" s="417"/>
      <c r="AZ121" s="417"/>
      <c r="BA121" s="417">
        <v>0</v>
      </c>
      <c r="BB121" s="41"/>
      <c r="BC121" s="41"/>
      <c r="BD121" s="413">
        <f t="shared" si="11"/>
        <v>1</v>
      </c>
      <c r="BE121" s="413">
        <f t="shared" si="12"/>
        <v>1</v>
      </c>
      <c r="BF121" s="68">
        <f t="shared" si="10"/>
        <v>1</v>
      </c>
    </row>
    <row r="122" spans="2:58" s="2" customFormat="1" ht="60" hidden="1" customHeight="1">
      <c r="B122" s="44" t="s">
        <v>160</v>
      </c>
      <c r="C122" s="27" t="s">
        <v>1206</v>
      </c>
      <c r="D122" s="664"/>
      <c r="E122" s="661"/>
      <c r="F122" s="661"/>
      <c r="G122" s="417" t="s">
        <v>1207</v>
      </c>
      <c r="H122" s="417" t="s">
        <v>531</v>
      </c>
      <c r="I122" s="417">
        <v>0.5</v>
      </c>
      <c r="J122" s="417"/>
      <c r="K122" s="417" t="s">
        <v>73</v>
      </c>
      <c r="L122" s="417" t="s">
        <v>72</v>
      </c>
      <c r="M122" s="417" t="s">
        <v>1150</v>
      </c>
      <c r="N122" s="417" t="s">
        <v>1191</v>
      </c>
      <c r="O122" s="40">
        <v>44197</v>
      </c>
      <c r="P122" s="40">
        <v>44561</v>
      </c>
      <c r="Q122" s="417"/>
      <c r="R122" s="417">
        <v>1</v>
      </c>
      <c r="S122" s="41"/>
      <c r="T122" s="417">
        <v>0</v>
      </c>
      <c r="U122" s="417">
        <v>0</v>
      </c>
      <c r="V122" s="417" t="s">
        <v>1208</v>
      </c>
      <c r="W122" s="417">
        <v>0</v>
      </c>
      <c r="X122" s="417">
        <v>0</v>
      </c>
      <c r="Y122" s="417" t="s">
        <v>1209</v>
      </c>
      <c r="Z122" s="417">
        <v>0</v>
      </c>
      <c r="AA122" s="82">
        <v>0</v>
      </c>
      <c r="AB122" s="82" t="s">
        <v>1165</v>
      </c>
      <c r="AC122" s="417">
        <v>0</v>
      </c>
      <c r="AD122" s="237">
        <v>0</v>
      </c>
      <c r="AE122" s="330" t="s">
        <v>1166</v>
      </c>
      <c r="AF122" s="417">
        <v>0</v>
      </c>
      <c r="AG122" s="138">
        <v>0</v>
      </c>
      <c r="AH122" s="157" t="s">
        <v>1167</v>
      </c>
      <c r="AI122" s="417">
        <v>0</v>
      </c>
      <c r="AJ122" s="417">
        <v>0</v>
      </c>
      <c r="AK122" s="417" t="s">
        <v>1210</v>
      </c>
      <c r="AL122" s="417">
        <v>0</v>
      </c>
      <c r="AM122" s="417"/>
      <c r="AN122" s="417"/>
      <c r="AO122" s="417">
        <v>0</v>
      </c>
      <c r="AP122" s="417"/>
      <c r="AQ122" s="417"/>
      <c r="AR122" s="417">
        <v>1</v>
      </c>
      <c r="AS122" s="417"/>
      <c r="AT122" s="417"/>
      <c r="AU122" s="417">
        <v>0</v>
      </c>
      <c r="AV122" s="417"/>
      <c r="AW122" s="417"/>
      <c r="AX122" s="417">
        <v>0</v>
      </c>
      <c r="AY122" s="417"/>
      <c r="AZ122" s="417"/>
      <c r="BA122" s="417">
        <v>0</v>
      </c>
      <c r="BB122" s="41"/>
      <c r="BC122" s="41"/>
      <c r="BD122" s="413">
        <f t="shared" si="11"/>
        <v>0</v>
      </c>
      <c r="BE122" s="413">
        <f t="shared" si="12"/>
        <v>0</v>
      </c>
      <c r="BF122" s="68" t="str">
        <f t="shared" si="10"/>
        <v>No programación, No avance</v>
      </c>
    </row>
    <row r="123" spans="2:58" s="2" customFormat="1" ht="60" hidden="1" customHeight="1">
      <c r="B123" s="44" t="s">
        <v>164</v>
      </c>
      <c r="C123" s="27" t="s">
        <v>1211</v>
      </c>
      <c r="D123" s="664"/>
      <c r="E123" s="661" t="s">
        <v>165</v>
      </c>
      <c r="F123" s="667" t="s">
        <v>166</v>
      </c>
      <c r="G123" s="414" t="s">
        <v>1212</v>
      </c>
      <c r="H123" s="414" t="s">
        <v>472</v>
      </c>
      <c r="I123" s="414">
        <v>0.05</v>
      </c>
      <c r="J123" s="414" t="s">
        <v>163</v>
      </c>
      <c r="K123" s="414" t="s">
        <v>73</v>
      </c>
      <c r="L123" s="414" t="s">
        <v>72</v>
      </c>
      <c r="M123" s="414" t="s">
        <v>1150</v>
      </c>
      <c r="N123" s="414" t="s">
        <v>1213</v>
      </c>
      <c r="O123" s="59">
        <v>44197</v>
      </c>
      <c r="P123" s="59">
        <v>44561</v>
      </c>
      <c r="Q123" s="414">
        <f t="shared" si="9"/>
        <v>0.5</v>
      </c>
      <c r="R123" s="414">
        <v>4</v>
      </c>
      <c r="S123" s="142">
        <f t="shared" si="8"/>
        <v>2.5</v>
      </c>
      <c r="T123" s="414">
        <v>0</v>
      </c>
      <c r="U123" s="61">
        <v>0</v>
      </c>
      <c r="V123" s="61" t="s">
        <v>1214</v>
      </c>
      <c r="W123" s="414">
        <v>0</v>
      </c>
      <c r="X123" s="61">
        <v>0</v>
      </c>
      <c r="Y123" s="61" t="s">
        <v>1215</v>
      </c>
      <c r="Z123" s="414">
        <f>1/R123</f>
        <v>0.25</v>
      </c>
      <c r="AA123" s="61">
        <v>0</v>
      </c>
      <c r="AB123" s="61" t="s">
        <v>1216</v>
      </c>
      <c r="AC123" s="414">
        <v>0</v>
      </c>
      <c r="AD123" s="382">
        <f>1/R123</f>
        <v>0.25</v>
      </c>
      <c r="AE123" s="336" t="s">
        <v>1217</v>
      </c>
      <c r="AF123" s="159">
        <v>0</v>
      </c>
      <c r="AG123" s="252">
        <v>0</v>
      </c>
      <c r="AH123" s="158" t="s">
        <v>1218</v>
      </c>
      <c r="AI123" s="414">
        <f>1/R123</f>
        <v>0.25</v>
      </c>
      <c r="AJ123" s="414">
        <f>1*AI123</f>
        <v>0.25</v>
      </c>
      <c r="AK123" s="414" t="s">
        <v>1219</v>
      </c>
      <c r="AL123" s="414">
        <v>0</v>
      </c>
      <c r="AM123" s="414"/>
      <c r="AN123" s="414"/>
      <c r="AO123" s="414">
        <v>0</v>
      </c>
      <c r="AP123" s="414"/>
      <c r="AQ123" s="414"/>
      <c r="AR123" s="414">
        <v>1</v>
      </c>
      <c r="AS123" s="414"/>
      <c r="AT123" s="414"/>
      <c r="AU123" s="414">
        <v>0</v>
      </c>
      <c r="AV123" s="414"/>
      <c r="AW123" s="414"/>
      <c r="AX123" s="414">
        <v>0</v>
      </c>
      <c r="AY123" s="414"/>
      <c r="AZ123" s="414"/>
      <c r="BA123" s="137">
        <v>1</v>
      </c>
      <c r="BB123" s="142"/>
      <c r="BC123" s="142"/>
      <c r="BD123" s="413">
        <f t="shared" si="11"/>
        <v>0.5</v>
      </c>
      <c r="BE123" s="413">
        <f t="shared" si="12"/>
        <v>0.5</v>
      </c>
      <c r="BF123" s="60">
        <f t="shared" si="10"/>
        <v>1</v>
      </c>
    </row>
    <row r="124" spans="2:58" s="2" customFormat="1" ht="77.25" hidden="1" customHeight="1">
      <c r="B124" s="44" t="s">
        <v>164</v>
      </c>
      <c r="C124" s="27" t="s">
        <v>1220</v>
      </c>
      <c r="D124" s="664"/>
      <c r="E124" s="661"/>
      <c r="F124" s="667"/>
      <c r="G124" s="414" t="s">
        <v>1221</v>
      </c>
      <c r="H124" s="414" t="s">
        <v>472</v>
      </c>
      <c r="I124" s="414">
        <v>0.05</v>
      </c>
      <c r="J124" s="414" t="s">
        <v>163</v>
      </c>
      <c r="K124" s="414" t="s">
        <v>73</v>
      </c>
      <c r="L124" s="414" t="s">
        <v>72</v>
      </c>
      <c r="M124" s="414" t="s">
        <v>1150</v>
      </c>
      <c r="N124" s="414" t="s">
        <v>1222</v>
      </c>
      <c r="O124" s="59">
        <v>44197</v>
      </c>
      <c r="P124" s="59">
        <v>44561</v>
      </c>
      <c r="Q124" s="414">
        <f t="shared" si="9"/>
        <v>1</v>
      </c>
      <c r="R124" s="414">
        <v>1</v>
      </c>
      <c r="S124" s="142">
        <f t="shared" si="8"/>
        <v>2</v>
      </c>
      <c r="T124" s="414">
        <v>0</v>
      </c>
      <c r="U124" s="414">
        <v>0</v>
      </c>
      <c r="V124" s="414" t="s">
        <v>1223</v>
      </c>
      <c r="W124" s="414">
        <v>1</v>
      </c>
      <c r="X124" s="414">
        <v>1</v>
      </c>
      <c r="Y124" s="414" t="s">
        <v>1224</v>
      </c>
      <c r="Z124" s="414">
        <v>0</v>
      </c>
      <c r="AA124" s="61">
        <v>0</v>
      </c>
      <c r="AB124" s="61" t="s">
        <v>1225</v>
      </c>
      <c r="AC124" s="414">
        <v>0</v>
      </c>
      <c r="AD124" s="382">
        <v>0</v>
      </c>
      <c r="AE124" s="336" t="s">
        <v>1226</v>
      </c>
      <c r="AF124" s="159">
        <v>0</v>
      </c>
      <c r="AG124" s="252">
        <v>0</v>
      </c>
      <c r="AH124" s="158" t="s">
        <v>1227</v>
      </c>
      <c r="AI124" s="414">
        <v>0</v>
      </c>
      <c r="AJ124" s="414">
        <v>0</v>
      </c>
      <c r="AK124" s="414" t="s">
        <v>1228</v>
      </c>
      <c r="AL124" s="414">
        <v>0</v>
      </c>
      <c r="AM124" s="414"/>
      <c r="AN124" s="414"/>
      <c r="AO124" s="414">
        <v>0</v>
      </c>
      <c r="AP124" s="414"/>
      <c r="AQ124" s="414"/>
      <c r="AR124" s="414">
        <v>0</v>
      </c>
      <c r="AS124" s="414"/>
      <c r="AT124" s="414"/>
      <c r="AU124" s="414">
        <v>0</v>
      </c>
      <c r="AV124" s="414"/>
      <c r="AW124" s="414"/>
      <c r="AX124" s="414">
        <v>0</v>
      </c>
      <c r="AY124" s="414"/>
      <c r="AZ124" s="414"/>
      <c r="BA124" s="137">
        <v>1</v>
      </c>
      <c r="BB124" s="142"/>
      <c r="BC124" s="142"/>
      <c r="BD124" s="413">
        <f t="shared" si="11"/>
        <v>1</v>
      </c>
      <c r="BE124" s="413">
        <f t="shared" si="12"/>
        <v>1</v>
      </c>
      <c r="BF124" s="60">
        <f t="shared" si="10"/>
        <v>1</v>
      </c>
    </row>
    <row r="125" spans="2:58" s="2" customFormat="1" ht="84" hidden="1">
      <c r="B125" s="44" t="s">
        <v>167</v>
      </c>
      <c r="C125" s="27" t="s">
        <v>1229</v>
      </c>
      <c r="D125" s="664"/>
      <c r="E125" s="661"/>
      <c r="F125" s="661" t="s">
        <v>1230</v>
      </c>
      <c r="G125" s="414" t="s">
        <v>1231</v>
      </c>
      <c r="H125" s="414" t="s">
        <v>531</v>
      </c>
      <c r="I125" s="414">
        <v>0.03</v>
      </c>
      <c r="J125" s="414" t="s">
        <v>163</v>
      </c>
      <c r="K125" s="414" t="s">
        <v>73</v>
      </c>
      <c r="L125" s="414" t="s">
        <v>72</v>
      </c>
      <c r="M125" s="414" t="s">
        <v>1150</v>
      </c>
      <c r="N125" s="414" t="s">
        <v>1232</v>
      </c>
      <c r="O125" s="59">
        <v>44197</v>
      </c>
      <c r="P125" s="59">
        <v>44561</v>
      </c>
      <c r="Q125" s="414">
        <f t="shared" si="9"/>
        <v>0.54545454545454553</v>
      </c>
      <c r="R125" s="414">
        <v>11</v>
      </c>
      <c r="S125" s="142">
        <f t="shared" si="8"/>
        <v>5.545454545454545</v>
      </c>
      <c r="T125" s="414">
        <f>1/R125</f>
        <v>9.0909090909090912E-2</v>
      </c>
      <c r="U125" s="382">
        <v>9.0909090909090912E-2</v>
      </c>
      <c r="V125" s="61" t="s">
        <v>1233</v>
      </c>
      <c r="W125" s="414">
        <v>9.0909090909090912E-2</v>
      </c>
      <c r="X125" s="382">
        <v>9.0909090909090912E-2</v>
      </c>
      <c r="Y125" s="414" t="s">
        <v>1224</v>
      </c>
      <c r="Z125" s="414">
        <v>9.0909090909090912E-2</v>
      </c>
      <c r="AA125" s="382">
        <v>9.0909090909090912E-2</v>
      </c>
      <c r="AB125" s="61" t="s">
        <v>1234</v>
      </c>
      <c r="AC125" s="414">
        <v>9.0909090909090912E-2</v>
      </c>
      <c r="AD125" s="382">
        <v>9.0909090909090912E-2</v>
      </c>
      <c r="AE125" s="318" t="s">
        <v>1235</v>
      </c>
      <c r="AF125" s="414">
        <v>9.0909090909090912E-2</v>
      </c>
      <c r="AG125" s="382">
        <v>9.0909090909090912E-2</v>
      </c>
      <c r="AH125" s="158" t="s">
        <v>1236</v>
      </c>
      <c r="AI125" s="414">
        <f>1/R125</f>
        <v>9.0909090909090912E-2</v>
      </c>
      <c r="AJ125" s="414">
        <f>1*AI125</f>
        <v>9.0909090909090912E-2</v>
      </c>
      <c r="AK125" s="414" t="s">
        <v>1236</v>
      </c>
      <c r="AL125" s="414">
        <v>1</v>
      </c>
      <c r="AM125" s="414"/>
      <c r="AN125" s="414"/>
      <c r="AO125" s="414">
        <v>1</v>
      </c>
      <c r="AP125" s="414"/>
      <c r="AQ125" s="414"/>
      <c r="AR125" s="414">
        <v>1</v>
      </c>
      <c r="AS125" s="414"/>
      <c r="AT125" s="414"/>
      <c r="AU125" s="414">
        <v>1</v>
      </c>
      <c r="AV125" s="414"/>
      <c r="AW125" s="414"/>
      <c r="AX125" s="414">
        <v>1</v>
      </c>
      <c r="AY125" s="414"/>
      <c r="AZ125" s="414"/>
      <c r="BA125" s="137">
        <v>0</v>
      </c>
      <c r="BB125" s="142"/>
      <c r="BC125" s="142"/>
      <c r="BD125" s="413">
        <f t="shared" si="11"/>
        <v>0.54545454545454553</v>
      </c>
      <c r="BE125" s="413">
        <f t="shared" si="12"/>
        <v>0.54545454545454553</v>
      </c>
      <c r="BF125" s="60">
        <f t="shared" si="10"/>
        <v>1</v>
      </c>
    </row>
    <row r="126" spans="2:58" s="2" customFormat="1" ht="120" hidden="1">
      <c r="B126" s="44" t="s">
        <v>167</v>
      </c>
      <c r="C126" s="27" t="s">
        <v>1237</v>
      </c>
      <c r="D126" s="664"/>
      <c r="E126" s="661"/>
      <c r="F126" s="661"/>
      <c r="G126" s="417" t="s">
        <v>1238</v>
      </c>
      <c r="H126" s="417" t="s">
        <v>531</v>
      </c>
      <c r="I126" s="417">
        <v>0.97</v>
      </c>
      <c r="J126" s="417"/>
      <c r="K126" s="417" t="s">
        <v>73</v>
      </c>
      <c r="L126" s="417" t="s">
        <v>72</v>
      </c>
      <c r="M126" s="417" t="s">
        <v>1150</v>
      </c>
      <c r="N126" s="417" t="s">
        <v>1232</v>
      </c>
      <c r="O126" s="40">
        <v>44197</v>
      </c>
      <c r="P126" s="40">
        <v>44561</v>
      </c>
      <c r="Q126" s="417"/>
      <c r="R126" s="417">
        <v>1</v>
      </c>
      <c r="S126" s="41"/>
      <c r="T126" s="417">
        <v>0</v>
      </c>
      <c r="U126" s="417">
        <v>0</v>
      </c>
      <c r="V126" s="417" t="s">
        <v>1239</v>
      </c>
      <c r="W126" s="417">
        <v>0</v>
      </c>
      <c r="X126" s="417">
        <v>0</v>
      </c>
      <c r="Y126" s="417" t="s">
        <v>1240</v>
      </c>
      <c r="Z126" s="417">
        <v>0</v>
      </c>
      <c r="AA126" s="82">
        <v>0</v>
      </c>
      <c r="AB126" s="82" t="s">
        <v>1241</v>
      </c>
      <c r="AC126" s="417">
        <v>0</v>
      </c>
      <c r="AD126" s="237">
        <v>0</v>
      </c>
      <c r="AE126" s="330" t="s">
        <v>1242</v>
      </c>
      <c r="AF126" s="417">
        <v>0</v>
      </c>
      <c r="AG126" s="138">
        <v>0</v>
      </c>
      <c r="AH126" s="157" t="s">
        <v>1243</v>
      </c>
      <c r="AI126" s="417">
        <v>0</v>
      </c>
      <c r="AJ126" s="417">
        <v>0</v>
      </c>
      <c r="AK126" s="417" t="s">
        <v>1244</v>
      </c>
      <c r="AL126" s="417">
        <v>0</v>
      </c>
      <c r="AM126" s="417"/>
      <c r="AN126" s="417"/>
      <c r="AO126" s="417">
        <v>0</v>
      </c>
      <c r="AP126" s="417"/>
      <c r="AQ126" s="417"/>
      <c r="AR126" s="417">
        <v>0</v>
      </c>
      <c r="AS126" s="417"/>
      <c r="AT126" s="417"/>
      <c r="AU126" s="417">
        <v>0</v>
      </c>
      <c r="AV126" s="417"/>
      <c r="AW126" s="417"/>
      <c r="AX126" s="417">
        <v>0</v>
      </c>
      <c r="AY126" s="417"/>
      <c r="AZ126" s="417"/>
      <c r="BA126" s="417">
        <v>1</v>
      </c>
      <c r="BB126" s="41"/>
      <c r="BC126" s="41"/>
      <c r="BD126" s="413">
        <f t="shared" si="11"/>
        <v>0</v>
      </c>
      <c r="BE126" s="413">
        <f t="shared" si="12"/>
        <v>0</v>
      </c>
      <c r="BF126" s="68" t="str">
        <f t="shared" si="10"/>
        <v>No programación, No avance</v>
      </c>
    </row>
    <row r="127" spans="2:58" s="2" customFormat="1" ht="60" hidden="1" customHeight="1">
      <c r="B127" s="44" t="s">
        <v>168</v>
      </c>
      <c r="C127" s="27" t="s">
        <v>1245</v>
      </c>
      <c r="D127" s="664"/>
      <c r="E127" s="661"/>
      <c r="F127" s="414" t="s">
        <v>1246</v>
      </c>
      <c r="G127" s="414" t="s">
        <v>1247</v>
      </c>
      <c r="H127" s="414" t="s">
        <v>472</v>
      </c>
      <c r="I127" s="414">
        <v>0.02</v>
      </c>
      <c r="J127" s="414" t="s">
        <v>163</v>
      </c>
      <c r="K127" s="414" t="s">
        <v>73</v>
      </c>
      <c r="L127" s="414" t="s">
        <v>72</v>
      </c>
      <c r="M127" s="414" t="s">
        <v>1150</v>
      </c>
      <c r="N127" s="414" t="s">
        <v>1248</v>
      </c>
      <c r="O127" s="59">
        <v>44197</v>
      </c>
      <c r="P127" s="59">
        <v>44561</v>
      </c>
      <c r="Q127" s="414">
        <f t="shared" si="9"/>
        <v>0</v>
      </c>
      <c r="R127" s="414">
        <v>1</v>
      </c>
      <c r="S127" s="142">
        <f t="shared" si="8"/>
        <v>1</v>
      </c>
      <c r="T127" s="414">
        <v>0</v>
      </c>
      <c r="U127" s="61">
        <v>0</v>
      </c>
      <c r="V127" s="61" t="s">
        <v>1249</v>
      </c>
      <c r="W127" s="414">
        <v>0</v>
      </c>
      <c r="X127" s="61">
        <v>0</v>
      </c>
      <c r="Y127" s="61" t="s">
        <v>1250</v>
      </c>
      <c r="Z127" s="414">
        <v>0</v>
      </c>
      <c r="AA127" s="61">
        <v>0</v>
      </c>
      <c r="AB127" s="61" t="s">
        <v>1251</v>
      </c>
      <c r="AC127" s="414">
        <v>0</v>
      </c>
      <c r="AD127" s="382">
        <v>0</v>
      </c>
      <c r="AE127" s="318" t="s">
        <v>1252</v>
      </c>
      <c r="AF127" s="414">
        <v>0</v>
      </c>
      <c r="AG127" s="61">
        <v>0</v>
      </c>
      <c r="AH127" s="158" t="s">
        <v>1253</v>
      </c>
      <c r="AI127" s="414">
        <v>0</v>
      </c>
      <c r="AJ127" s="414">
        <v>0</v>
      </c>
      <c r="AK127" s="414" t="s">
        <v>1254</v>
      </c>
      <c r="AL127" s="414">
        <v>0</v>
      </c>
      <c r="AM127" s="414"/>
      <c r="AN127" s="414"/>
      <c r="AO127" s="414">
        <v>0</v>
      </c>
      <c r="AP127" s="414"/>
      <c r="AQ127" s="414"/>
      <c r="AR127" s="414">
        <v>0</v>
      </c>
      <c r="AS127" s="414"/>
      <c r="AT127" s="414"/>
      <c r="AU127" s="414">
        <v>0</v>
      </c>
      <c r="AV127" s="414"/>
      <c r="AW127" s="414"/>
      <c r="AX127" s="414">
        <v>0</v>
      </c>
      <c r="AY127" s="414"/>
      <c r="AZ127" s="414"/>
      <c r="BA127" s="137">
        <v>1</v>
      </c>
      <c r="BB127" s="142"/>
      <c r="BC127" s="142"/>
      <c r="BD127" s="413">
        <f t="shared" si="11"/>
        <v>0</v>
      </c>
      <c r="BE127" s="413">
        <f t="shared" si="12"/>
        <v>0</v>
      </c>
      <c r="BF127" s="60" t="str">
        <f t="shared" si="10"/>
        <v>No programación, No avance</v>
      </c>
    </row>
    <row r="128" spans="2:58" s="2" customFormat="1" ht="48" hidden="1" customHeight="1">
      <c r="B128" s="44" t="s">
        <v>169</v>
      </c>
      <c r="C128" s="27" t="s">
        <v>1255</v>
      </c>
      <c r="D128" s="664"/>
      <c r="E128" s="661" t="s">
        <v>170</v>
      </c>
      <c r="F128" s="661" t="s">
        <v>1256</v>
      </c>
      <c r="G128" s="414" t="s">
        <v>1257</v>
      </c>
      <c r="H128" s="414" t="s">
        <v>531</v>
      </c>
      <c r="I128" s="414">
        <v>0.03</v>
      </c>
      <c r="J128" s="414" t="s">
        <v>171</v>
      </c>
      <c r="K128" s="414" t="s">
        <v>73</v>
      </c>
      <c r="L128" s="414" t="s">
        <v>72</v>
      </c>
      <c r="M128" s="414" t="s">
        <v>1150</v>
      </c>
      <c r="N128" s="414" t="s">
        <v>1164</v>
      </c>
      <c r="O128" s="59">
        <v>44197</v>
      </c>
      <c r="P128" s="59">
        <v>44561</v>
      </c>
      <c r="Q128" s="414">
        <f t="shared" si="9"/>
        <v>0</v>
      </c>
      <c r="R128" s="414">
        <v>1</v>
      </c>
      <c r="S128" s="142">
        <f t="shared" si="8"/>
        <v>1</v>
      </c>
      <c r="T128" s="414">
        <v>0</v>
      </c>
      <c r="U128" s="61">
        <v>0</v>
      </c>
      <c r="V128" s="61" t="s">
        <v>1258</v>
      </c>
      <c r="W128" s="414">
        <v>0</v>
      </c>
      <c r="X128" s="61">
        <v>0</v>
      </c>
      <c r="Y128" s="61" t="s">
        <v>1259</v>
      </c>
      <c r="Z128" s="414">
        <v>0</v>
      </c>
      <c r="AA128" s="61">
        <v>0</v>
      </c>
      <c r="AB128" s="61" t="s">
        <v>1260</v>
      </c>
      <c r="AC128" s="414">
        <v>0</v>
      </c>
      <c r="AD128" s="382">
        <v>0</v>
      </c>
      <c r="AE128" s="318" t="s">
        <v>1261</v>
      </c>
      <c r="AF128" s="414">
        <v>0</v>
      </c>
      <c r="AG128" s="61">
        <v>0</v>
      </c>
      <c r="AH128" s="158" t="s">
        <v>1262</v>
      </c>
      <c r="AI128" s="414">
        <v>0</v>
      </c>
      <c r="AJ128" s="414">
        <v>0</v>
      </c>
      <c r="AK128" s="414" t="s">
        <v>1263</v>
      </c>
      <c r="AL128" s="414">
        <v>0</v>
      </c>
      <c r="AM128" s="414"/>
      <c r="AN128" s="414"/>
      <c r="AO128" s="414">
        <v>0</v>
      </c>
      <c r="AP128" s="414"/>
      <c r="AQ128" s="414"/>
      <c r="AR128" s="414">
        <v>0</v>
      </c>
      <c r="AS128" s="414"/>
      <c r="AT128" s="414"/>
      <c r="AU128" s="414">
        <v>1</v>
      </c>
      <c r="AV128" s="414"/>
      <c r="AW128" s="414"/>
      <c r="AX128" s="414">
        <v>0</v>
      </c>
      <c r="AY128" s="414"/>
      <c r="AZ128" s="414"/>
      <c r="BA128" s="137">
        <v>0</v>
      </c>
      <c r="BB128" s="142"/>
      <c r="BC128" s="142"/>
      <c r="BD128" s="413">
        <f t="shared" si="11"/>
        <v>0</v>
      </c>
      <c r="BE128" s="413">
        <f t="shared" si="12"/>
        <v>0</v>
      </c>
      <c r="BF128" s="60" t="str">
        <f t="shared" si="10"/>
        <v>No programación, No avance</v>
      </c>
    </row>
    <row r="129" spans="2:59" s="2" customFormat="1" ht="48" hidden="1">
      <c r="B129" s="44" t="s">
        <v>169</v>
      </c>
      <c r="C129" s="27" t="s">
        <v>1264</v>
      </c>
      <c r="D129" s="664"/>
      <c r="E129" s="661"/>
      <c r="F129" s="661"/>
      <c r="G129" s="414" t="s">
        <v>1265</v>
      </c>
      <c r="H129" s="414" t="s">
        <v>472</v>
      </c>
      <c r="I129" s="414">
        <v>0.03</v>
      </c>
      <c r="J129" s="414" t="s">
        <v>171</v>
      </c>
      <c r="K129" s="414" t="s">
        <v>73</v>
      </c>
      <c r="L129" s="414" t="s">
        <v>72</v>
      </c>
      <c r="M129" s="414" t="s">
        <v>1150</v>
      </c>
      <c r="N129" s="414" t="s">
        <v>1164</v>
      </c>
      <c r="O129" s="59">
        <v>44197</v>
      </c>
      <c r="P129" s="59">
        <v>44561</v>
      </c>
      <c r="Q129" s="414">
        <f t="shared" si="9"/>
        <v>0</v>
      </c>
      <c r="R129" s="414">
        <v>1</v>
      </c>
      <c r="S129" s="142">
        <f t="shared" si="8"/>
        <v>1</v>
      </c>
      <c r="T129" s="414">
        <v>0</v>
      </c>
      <c r="U129" s="61">
        <v>0</v>
      </c>
      <c r="V129" s="61" t="s">
        <v>1097</v>
      </c>
      <c r="W129" s="414">
        <v>0</v>
      </c>
      <c r="X129" s="61">
        <v>0</v>
      </c>
      <c r="Y129" s="61" t="s">
        <v>1266</v>
      </c>
      <c r="Z129" s="414">
        <v>0</v>
      </c>
      <c r="AA129" s="61">
        <v>0</v>
      </c>
      <c r="AB129" s="61" t="s">
        <v>1267</v>
      </c>
      <c r="AC129" s="414">
        <v>0</v>
      </c>
      <c r="AD129" s="382">
        <v>0</v>
      </c>
      <c r="AE129" s="318" t="s">
        <v>1267</v>
      </c>
      <c r="AF129" s="414">
        <v>0</v>
      </c>
      <c r="AG129" s="61">
        <v>0</v>
      </c>
      <c r="AH129" s="158" t="s">
        <v>1268</v>
      </c>
      <c r="AI129" s="414">
        <v>0</v>
      </c>
      <c r="AJ129" s="414">
        <v>0</v>
      </c>
      <c r="AK129" s="414" t="s">
        <v>1269</v>
      </c>
      <c r="AL129" s="414">
        <v>0</v>
      </c>
      <c r="AM129" s="414"/>
      <c r="AN129" s="414"/>
      <c r="AO129" s="414">
        <v>0</v>
      </c>
      <c r="AP129" s="414"/>
      <c r="AQ129" s="414"/>
      <c r="AR129" s="414">
        <v>0</v>
      </c>
      <c r="AS129" s="414"/>
      <c r="AT129" s="414"/>
      <c r="AU129" s="414">
        <v>0</v>
      </c>
      <c r="AV129" s="414"/>
      <c r="AW129" s="414"/>
      <c r="AX129" s="414">
        <v>0</v>
      </c>
      <c r="AY129" s="414"/>
      <c r="AZ129" s="414"/>
      <c r="BA129" s="137">
        <v>1</v>
      </c>
      <c r="BB129" s="142"/>
      <c r="BC129" s="142"/>
      <c r="BD129" s="413">
        <f t="shared" si="11"/>
        <v>0</v>
      </c>
      <c r="BE129" s="413">
        <f t="shared" si="12"/>
        <v>0</v>
      </c>
      <c r="BF129" s="60" t="str">
        <f t="shared" si="10"/>
        <v>No programación, No avance</v>
      </c>
    </row>
    <row r="130" spans="2:59" s="2" customFormat="1" ht="48" hidden="1">
      <c r="B130" s="44" t="s">
        <v>169</v>
      </c>
      <c r="C130" s="27" t="s">
        <v>1270</v>
      </c>
      <c r="D130" s="664"/>
      <c r="E130" s="661"/>
      <c r="F130" s="661"/>
      <c r="G130" s="414" t="s">
        <v>1271</v>
      </c>
      <c r="H130" s="414" t="s">
        <v>472</v>
      </c>
      <c r="I130" s="414">
        <v>0.03</v>
      </c>
      <c r="J130" s="414" t="s">
        <v>171</v>
      </c>
      <c r="K130" s="414" t="s">
        <v>73</v>
      </c>
      <c r="L130" s="414" t="s">
        <v>72</v>
      </c>
      <c r="M130" s="414" t="s">
        <v>1150</v>
      </c>
      <c r="N130" s="414" t="s">
        <v>1164</v>
      </c>
      <c r="O130" s="59">
        <v>44197</v>
      </c>
      <c r="P130" s="59">
        <v>44561</v>
      </c>
      <c r="Q130" s="414">
        <f t="shared" si="9"/>
        <v>0</v>
      </c>
      <c r="R130" s="414">
        <v>1</v>
      </c>
      <c r="S130" s="142">
        <f t="shared" si="8"/>
        <v>1</v>
      </c>
      <c r="T130" s="414">
        <v>0</v>
      </c>
      <c r="U130" s="61">
        <v>0</v>
      </c>
      <c r="V130" s="61" t="s">
        <v>1272</v>
      </c>
      <c r="W130" s="414">
        <v>0</v>
      </c>
      <c r="X130" s="61">
        <v>0</v>
      </c>
      <c r="Y130" s="61" t="s">
        <v>1273</v>
      </c>
      <c r="Z130" s="414">
        <v>0</v>
      </c>
      <c r="AA130" s="61">
        <v>0</v>
      </c>
      <c r="AB130" s="61" t="s">
        <v>1274</v>
      </c>
      <c r="AC130" s="414">
        <v>0</v>
      </c>
      <c r="AD130" s="382">
        <v>0</v>
      </c>
      <c r="AE130" s="318" t="s">
        <v>1275</v>
      </c>
      <c r="AF130" s="414">
        <v>0</v>
      </c>
      <c r="AG130" s="61">
        <v>0</v>
      </c>
      <c r="AH130" s="158" t="s">
        <v>1276</v>
      </c>
      <c r="AI130" s="414">
        <v>1</v>
      </c>
      <c r="AJ130" s="414">
        <v>0</v>
      </c>
      <c r="AK130" s="414" t="s">
        <v>1277</v>
      </c>
      <c r="AL130" s="414">
        <v>0</v>
      </c>
      <c r="AM130" s="414"/>
      <c r="AN130" s="414"/>
      <c r="AO130" s="414">
        <v>0</v>
      </c>
      <c r="AP130" s="414"/>
      <c r="AQ130" s="414"/>
      <c r="AR130" s="414">
        <v>0</v>
      </c>
      <c r="AS130" s="414"/>
      <c r="AT130" s="414"/>
      <c r="AU130" s="414">
        <v>0</v>
      </c>
      <c r="AV130" s="414"/>
      <c r="AW130" s="414"/>
      <c r="AX130" s="414">
        <v>0</v>
      </c>
      <c r="AY130" s="414"/>
      <c r="AZ130" s="414"/>
      <c r="BA130" s="137">
        <v>0</v>
      </c>
      <c r="BB130" s="142"/>
      <c r="BC130" s="142"/>
      <c r="BD130" s="413">
        <f t="shared" si="11"/>
        <v>1</v>
      </c>
      <c r="BE130" s="413">
        <f t="shared" si="12"/>
        <v>0</v>
      </c>
      <c r="BF130" s="60">
        <f t="shared" si="10"/>
        <v>0</v>
      </c>
    </row>
    <row r="131" spans="2:59" s="2" customFormat="1" ht="48" hidden="1">
      <c r="B131" s="44" t="s">
        <v>169</v>
      </c>
      <c r="C131" s="27" t="s">
        <v>1278</v>
      </c>
      <c r="D131" s="664"/>
      <c r="E131" s="661"/>
      <c r="F131" s="661"/>
      <c r="G131" s="414" t="s">
        <v>1279</v>
      </c>
      <c r="H131" s="414" t="s">
        <v>472</v>
      </c>
      <c r="I131" s="414">
        <v>0.03</v>
      </c>
      <c r="J131" s="414" t="s">
        <v>171</v>
      </c>
      <c r="K131" s="414" t="s">
        <v>73</v>
      </c>
      <c r="L131" s="414" t="s">
        <v>72</v>
      </c>
      <c r="M131" s="414" t="s">
        <v>1150</v>
      </c>
      <c r="N131" s="414" t="s">
        <v>1164</v>
      </c>
      <c r="O131" s="59">
        <v>44197</v>
      </c>
      <c r="P131" s="59">
        <v>44561</v>
      </c>
      <c r="Q131" s="414">
        <f t="shared" si="9"/>
        <v>0</v>
      </c>
      <c r="R131" s="414">
        <v>1</v>
      </c>
      <c r="S131" s="142">
        <f t="shared" si="8"/>
        <v>1</v>
      </c>
      <c r="T131" s="414">
        <v>0</v>
      </c>
      <c r="U131" s="61">
        <v>0</v>
      </c>
      <c r="V131" s="61" t="s">
        <v>1280</v>
      </c>
      <c r="W131" s="414">
        <v>0</v>
      </c>
      <c r="X131" s="61">
        <v>0</v>
      </c>
      <c r="Y131" s="61" t="s">
        <v>1281</v>
      </c>
      <c r="Z131" s="414">
        <v>0</v>
      </c>
      <c r="AA131" s="61">
        <v>0</v>
      </c>
      <c r="AB131" s="61" t="s">
        <v>1282</v>
      </c>
      <c r="AC131" s="414">
        <v>0</v>
      </c>
      <c r="AD131" s="382">
        <v>0</v>
      </c>
      <c r="AE131" s="318" t="s">
        <v>1283</v>
      </c>
      <c r="AF131" s="414">
        <v>0</v>
      </c>
      <c r="AG131" s="61">
        <v>0</v>
      </c>
      <c r="AH131" s="158" t="s">
        <v>1284</v>
      </c>
      <c r="AI131" s="414">
        <v>0</v>
      </c>
      <c r="AJ131" s="414">
        <v>0</v>
      </c>
      <c r="AK131" s="414" t="s">
        <v>1285</v>
      </c>
      <c r="AL131" s="414">
        <v>0</v>
      </c>
      <c r="AM131" s="414"/>
      <c r="AN131" s="414"/>
      <c r="AO131" s="414">
        <v>0</v>
      </c>
      <c r="AP131" s="414"/>
      <c r="AQ131" s="414"/>
      <c r="AR131" s="414">
        <v>0</v>
      </c>
      <c r="AS131" s="414"/>
      <c r="AT131" s="414"/>
      <c r="AU131" s="414">
        <v>0</v>
      </c>
      <c r="AV131" s="414"/>
      <c r="AW131" s="414"/>
      <c r="AX131" s="414">
        <v>0</v>
      </c>
      <c r="AY131" s="414"/>
      <c r="AZ131" s="414"/>
      <c r="BA131" s="137">
        <v>1</v>
      </c>
      <c r="BB131" s="142"/>
      <c r="BC131" s="142"/>
      <c r="BD131" s="413">
        <f t="shared" si="11"/>
        <v>0</v>
      </c>
      <c r="BE131" s="413">
        <f t="shared" si="12"/>
        <v>0</v>
      </c>
      <c r="BF131" s="60" t="str">
        <f t="shared" si="10"/>
        <v>No programación, No avance</v>
      </c>
    </row>
    <row r="132" spans="2:59" s="2" customFormat="1" ht="48" hidden="1">
      <c r="B132" s="44" t="s">
        <v>169</v>
      </c>
      <c r="C132" s="27" t="s">
        <v>1286</v>
      </c>
      <c r="D132" s="664"/>
      <c r="E132" s="661"/>
      <c r="F132" s="661"/>
      <c r="G132" s="414" t="s">
        <v>1287</v>
      </c>
      <c r="H132" s="414" t="s">
        <v>531</v>
      </c>
      <c r="I132" s="414">
        <v>0.03</v>
      </c>
      <c r="J132" s="414" t="s">
        <v>171</v>
      </c>
      <c r="K132" s="414" t="s">
        <v>73</v>
      </c>
      <c r="L132" s="414" t="s">
        <v>72</v>
      </c>
      <c r="M132" s="414" t="s">
        <v>1150</v>
      </c>
      <c r="N132" s="414" t="s">
        <v>1164</v>
      </c>
      <c r="O132" s="59">
        <v>44197</v>
      </c>
      <c r="P132" s="59">
        <v>44561</v>
      </c>
      <c r="Q132" s="414">
        <f t="shared" si="9"/>
        <v>0</v>
      </c>
      <c r="R132" s="414">
        <v>1</v>
      </c>
      <c r="S132" s="142">
        <f t="shared" si="8"/>
        <v>1</v>
      </c>
      <c r="T132" s="414">
        <v>0</v>
      </c>
      <c r="U132" s="61">
        <v>0</v>
      </c>
      <c r="V132" s="61" t="s">
        <v>1288</v>
      </c>
      <c r="W132" s="414">
        <v>0</v>
      </c>
      <c r="X132" s="61">
        <v>0</v>
      </c>
      <c r="Y132" s="61" t="s">
        <v>1289</v>
      </c>
      <c r="Z132" s="414">
        <v>0</v>
      </c>
      <c r="AA132" s="61">
        <v>0</v>
      </c>
      <c r="AB132" s="61" t="s">
        <v>1290</v>
      </c>
      <c r="AC132" s="414">
        <v>0</v>
      </c>
      <c r="AD132" s="382">
        <v>0</v>
      </c>
      <c r="AE132" s="318" t="s">
        <v>1291</v>
      </c>
      <c r="AF132" s="414">
        <v>0</v>
      </c>
      <c r="AG132" s="61">
        <v>0</v>
      </c>
      <c r="AH132" s="158" t="s">
        <v>1276</v>
      </c>
      <c r="AI132" s="414">
        <v>1</v>
      </c>
      <c r="AJ132" s="414">
        <v>0</v>
      </c>
      <c r="AK132" s="414" t="s">
        <v>1292</v>
      </c>
      <c r="AL132" s="414">
        <v>0</v>
      </c>
      <c r="AM132" s="414"/>
      <c r="AN132" s="414"/>
      <c r="AO132" s="414">
        <v>0</v>
      </c>
      <c r="AP132" s="414"/>
      <c r="AQ132" s="414"/>
      <c r="AR132" s="414">
        <v>0</v>
      </c>
      <c r="AS132" s="414"/>
      <c r="AT132" s="414"/>
      <c r="AU132" s="414">
        <v>0</v>
      </c>
      <c r="AV132" s="414"/>
      <c r="AW132" s="414"/>
      <c r="AX132" s="414">
        <v>0</v>
      </c>
      <c r="AY132" s="414"/>
      <c r="AZ132" s="414"/>
      <c r="BA132" s="137">
        <v>0</v>
      </c>
      <c r="BB132" s="142"/>
      <c r="BC132" s="142"/>
      <c r="BD132" s="413">
        <f t="shared" si="11"/>
        <v>1</v>
      </c>
      <c r="BE132" s="413">
        <f t="shared" si="12"/>
        <v>0</v>
      </c>
      <c r="BF132" s="60">
        <f t="shared" si="10"/>
        <v>0</v>
      </c>
    </row>
    <row r="133" spans="2:59" s="2" customFormat="1" ht="108" hidden="1" customHeight="1">
      <c r="B133" s="44" t="s">
        <v>172</v>
      </c>
      <c r="C133" s="27" t="s">
        <v>1293</v>
      </c>
      <c r="D133" s="664"/>
      <c r="E133" s="661" t="s">
        <v>173</v>
      </c>
      <c r="F133" s="414" t="s">
        <v>174</v>
      </c>
      <c r="G133" s="417" t="s">
        <v>1294</v>
      </c>
      <c r="H133" s="417" t="s">
        <v>531</v>
      </c>
      <c r="I133" s="417">
        <v>0.05</v>
      </c>
      <c r="J133" s="417" t="s">
        <v>171</v>
      </c>
      <c r="K133" s="417" t="s">
        <v>73</v>
      </c>
      <c r="L133" s="417" t="s">
        <v>72</v>
      </c>
      <c r="M133" s="417" t="s">
        <v>1150</v>
      </c>
      <c r="N133" s="417" t="s">
        <v>1164</v>
      </c>
      <c r="O133" s="40">
        <v>44197</v>
      </c>
      <c r="P133" s="40">
        <v>44561</v>
      </c>
      <c r="Q133" s="417">
        <f t="shared" si="9"/>
        <v>1</v>
      </c>
      <c r="R133" s="417">
        <v>1</v>
      </c>
      <c r="S133" s="41">
        <f t="shared" si="8"/>
        <v>3</v>
      </c>
      <c r="T133" s="417">
        <v>0</v>
      </c>
      <c r="U133" s="82">
        <v>0</v>
      </c>
      <c r="V133" s="82" t="s">
        <v>1097</v>
      </c>
      <c r="W133" s="417">
        <v>1</v>
      </c>
      <c r="X133" s="82">
        <v>0</v>
      </c>
      <c r="Y133" s="82" t="s">
        <v>1295</v>
      </c>
      <c r="Z133" s="417">
        <v>0</v>
      </c>
      <c r="AA133" s="82">
        <v>0</v>
      </c>
      <c r="AB133" s="82" t="s">
        <v>1296</v>
      </c>
      <c r="AC133" s="417">
        <v>0</v>
      </c>
      <c r="AD133" s="237">
        <v>1</v>
      </c>
      <c r="AE133" s="330" t="s">
        <v>1297</v>
      </c>
      <c r="AF133" s="417">
        <v>0</v>
      </c>
      <c r="AG133" s="138">
        <v>0</v>
      </c>
      <c r="AH133" s="157" t="s">
        <v>1298</v>
      </c>
      <c r="AI133" s="417">
        <v>0</v>
      </c>
      <c r="AJ133" s="417">
        <v>0</v>
      </c>
      <c r="AK133" s="417" t="s">
        <v>1114</v>
      </c>
      <c r="AL133" s="417">
        <v>1</v>
      </c>
      <c r="AM133" s="417"/>
      <c r="AN133" s="417"/>
      <c r="AO133" s="417">
        <v>0</v>
      </c>
      <c r="AP133" s="417"/>
      <c r="AQ133" s="417"/>
      <c r="AR133" s="417">
        <v>0</v>
      </c>
      <c r="AS133" s="417"/>
      <c r="AT133" s="417"/>
      <c r="AU133" s="417">
        <v>0</v>
      </c>
      <c r="AV133" s="417"/>
      <c r="AW133" s="417"/>
      <c r="AX133" s="417">
        <v>1</v>
      </c>
      <c r="AY133" s="417"/>
      <c r="AZ133" s="417"/>
      <c r="BA133" s="417">
        <v>0</v>
      </c>
      <c r="BB133" s="41"/>
      <c r="BC133" s="41"/>
      <c r="BD133" s="413">
        <f t="shared" si="11"/>
        <v>1</v>
      </c>
      <c r="BE133" s="413">
        <f t="shared" si="12"/>
        <v>1</v>
      </c>
      <c r="BF133" s="68">
        <f t="shared" si="10"/>
        <v>1</v>
      </c>
    </row>
    <row r="134" spans="2:59" s="2" customFormat="1" ht="41.25" hidden="1" customHeight="1" thickBot="1">
      <c r="B134" s="44" t="s">
        <v>172</v>
      </c>
      <c r="C134" s="27" t="s">
        <v>1293</v>
      </c>
      <c r="D134" s="664"/>
      <c r="E134" s="661"/>
      <c r="F134" s="661" t="s">
        <v>175</v>
      </c>
      <c r="G134" s="417" t="s">
        <v>1299</v>
      </c>
      <c r="H134" s="417" t="s">
        <v>531</v>
      </c>
      <c r="I134" s="417">
        <v>0.05</v>
      </c>
      <c r="J134" s="417" t="s">
        <v>171</v>
      </c>
      <c r="K134" s="417" t="s">
        <v>73</v>
      </c>
      <c r="L134" s="417" t="s">
        <v>72</v>
      </c>
      <c r="M134" s="417" t="s">
        <v>1150</v>
      </c>
      <c r="N134" s="417" t="s">
        <v>1164</v>
      </c>
      <c r="O134" s="40">
        <v>44197</v>
      </c>
      <c r="P134" s="40">
        <v>44561</v>
      </c>
      <c r="Q134" s="417">
        <f t="shared" si="9"/>
        <v>0.25469999999999998</v>
      </c>
      <c r="R134" s="417">
        <v>1</v>
      </c>
      <c r="S134" s="41">
        <f t="shared" si="8"/>
        <v>1.4028</v>
      </c>
      <c r="T134" s="417">
        <v>0</v>
      </c>
      <c r="U134" s="82">
        <v>0</v>
      </c>
      <c r="V134" s="82" t="s">
        <v>1300</v>
      </c>
      <c r="W134" s="379">
        <v>5.2600000000000001E-2</v>
      </c>
      <c r="X134" s="379">
        <v>5.2600000000000001E-2</v>
      </c>
      <c r="Y134" s="82" t="s">
        <v>1301</v>
      </c>
      <c r="Z134" s="379">
        <v>5.79E-2</v>
      </c>
      <c r="AA134" s="379">
        <v>5.79E-2</v>
      </c>
      <c r="AB134" s="82" t="s">
        <v>1302</v>
      </c>
      <c r="AC134" s="379">
        <v>0.1502</v>
      </c>
      <c r="AD134" s="384">
        <v>6.8400000000000002E-2</v>
      </c>
      <c r="AE134" s="330" t="s">
        <v>1302</v>
      </c>
      <c r="AF134" s="379">
        <v>0.1421</v>
      </c>
      <c r="AG134" s="265">
        <v>0.03</v>
      </c>
      <c r="AH134" s="157" t="s">
        <v>1302</v>
      </c>
      <c r="AI134" s="417">
        <v>0</v>
      </c>
      <c r="AJ134" s="417">
        <v>4.58E-2</v>
      </c>
      <c r="AK134" s="417" t="s">
        <v>1302</v>
      </c>
      <c r="AL134" s="417">
        <v>0</v>
      </c>
      <c r="AM134" s="417"/>
      <c r="AN134" s="417"/>
      <c r="AO134" s="417">
        <v>0</v>
      </c>
      <c r="AP134" s="417"/>
      <c r="AQ134" s="417"/>
      <c r="AR134" s="417">
        <v>0</v>
      </c>
      <c r="AS134" s="417"/>
      <c r="AT134" s="417"/>
      <c r="AU134" s="417">
        <v>0</v>
      </c>
      <c r="AV134" s="417"/>
      <c r="AW134" s="417"/>
      <c r="AX134" s="417">
        <v>0</v>
      </c>
      <c r="AY134" s="417"/>
      <c r="AZ134" s="417"/>
      <c r="BA134" s="417">
        <v>1</v>
      </c>
      <c r="BB134" s="41"/>
      <c r="BC134" s="41"/>
      <c r="BD134" s="413">
        <f t="shared" si="11"/>
        <v>0.40279999999999999</v>
      </c>
      <c r="BE134" s="413">
        <f t="shared" si="12"/>
        <v>0.25469999999999998</v>
      </c>
      <c r="BF134" s="68">
        <f t="shared" si="10"/>
        <v>0.63232373386295926</v>
      </c>
    </row>
    <row r="135" spans="2:59" s="2" customFormat="1" ht="78.75" hidden="1" customHeight="1">
      <c r="B135" s="44" t="s">
        <v>172</v>
      </c>
      <c r="C135" s="100" t="s">
        <v>1303</v>
      </c>
      <c r="D135" s="664"/>
      <c r="E135" s="661"/>
      <c r="F135" s="661"/>
      <c r="G135" s="414" t="s">
        <v>1304</v>
      </c>
      <c r="H135" s="414" t="s">
        <v>472</v>
      </c>
      <c r="I135" s="414">
        <v>0.05</v>
      </c>
      <c r="J135" s="414" t="s">
        <v>176</v>
      </c>
      <c r="K135" s="414" t="s">
        <v>73</v>
      </c>
      <c r="L135" s="414" t="s">
        <v>72</v>
      </c>
      <c r="M135" s="414" t="s">
        <v>1150</v>
      </c>
      <c r="N135" s="414" t="s">
        <v>1305</v>
      </c>
      <c r="O135" s="59">
        <v>44197</v>
      </c>
      <c r="P135" s="59">
        <v>44561</v>
      </c>
      <c r="Q135" s="414">
        <f t="shared" si="9"/>
        <v>1</v>
      </c>
      <c r="R135" s="414">
        <v>1</v>
      </c>
      <c r="S135" s="142">
        <f t="shared" si="8"/>
        <v>1</v>
      </c>
      <c r="T135" s="414">
        <v>0</v>
      </c>
      <c r="U135" s="61">
        <v>0</v>
      </c>
      <c r="V135" s="61" t="s">
        <v>1306</v>
      </c>
      <c r="W135" s="414">
        <v>0</v>
      </c>
      <c r="X135" s="61">
        <v>0</v>
      </c>
      <c r="Y135" s="61" t="s">
        <v>1307</v>
      </c>
      <c r="Z135" s="414">
        <v>0</v>
      </c>
      <c r="AA135" s="61">
        <v>0</v>
      </c>
      <c r="AB135" s="61" t="s">
        <v>1308</v>
      </c>
      <c r="AC135" s="414">
        <v>0</v>
      </c>
      <c r="AD135" s="383">
        <v>1</v>
      </c>
      <c r="AE135" s="401" t="s">
        <v>1309</v>
      </c>
      <c r="AF135" s="414">
        <v>0</v>
      </c>
      <c r="AG135" s="61">
        <v>0</v>
      </c>
      <c r="AH135" s="402" t="s">
        <v>1114</v>
      </c>
      <c r="AI135" s="414">
        <v>0</v>
      </c>
      <c r="AJ135" s="414">
        <v>0</v>
      </c>
      <c r="AK135" s="414" t="s">
        <v>1114</v>
      </c>
      <c r="AL135" s="414">
        <v>0</v>
      </c>
      <c r="AM135" s="414"/>
      <c r="AN135" s="414"/>
      <c r="AO135" s="414">
        <v>0</v>
      </c>
      <c r="AP135" s="414"/>
      <c r="AQ135" s="414"/>
      <c r="AR135" s="414">
        <v>0</v>
      </c>
      <c r="AS135" s="414"/>
      <c r="AT135" s="414"/>
      <c r="AU135" s="414">
        <v>0</v>
      </c>
      <c r="AV135" s="414"/>
      <c r="AW135" s="414"/>
      <c r="AX135" s="414">
        <v>0</v>
      </c>
      <c r="AY135" s="414"/>
      <c r="AZ135" s="414"/>
      <c r="BA135" s="137">
        <v>1</v>
      </c>
      <c r="BB135" s="142"/>
      <c r="BC135" s="142"/>
      <c r="BD135" s="413">
        <f t="shared" si="11"/>
        <v>0</v>
      </c>
      <c r="BE135" s="413">
        <f t="shared" si="12"/>
        <v>1</v>
      </c>
      <c r="BF135" s="60">
        <f t="shared" si="10"/>
        <v>1</v>
      </c>
    </row>
    <row r="136" spans="2:59" s="2" customFormat="1" ht="87" hidden="1" customHeight="1">
      <c r="B136" s="44" t="s">
        <v>150</v>
      </c>
      <c r="C136" s="27" t="s">
        <v>1310</v>
      </c>
      <c r="D136" s="664"/>
      <c r="E136" s="414" t="s">
        <v>151</v>
      </c>
      <c r="F136" s="414" t="s">
        <v>1108</v>
      </c>
      <c r="G136" s="414" t="s">
        <v>1311</v>
      </c>
      <c r="H136" s="414" t="s">
        <v>690</v>
      </c>
      <c r="I136" s="414">
        <v>1</v>
      </c>
      <c r="J136" s="414" t="s">
        <v>1110</v>
      </c>
      <c r="K136" s="414" t="s">
        <v>79</v>
      </c>
      <c r="L136" s="414" t="s">
        <v>78</v>
      </c>
      <c r="M136" s="414" t="s">
        <v>1076</v>
      </c>
      <c r="N136" s="414" t="s">
        <v>1096</v>
      </c>
      <c r="O136" s="59">
        <v>44197</v>
      </c>
      <c r="P136" s="59">
        <v>44561</v>
      </c>
      <c r="Q136" s="414">
        <f t="shared" si="9"/>
        <v>0.44080000000000003</v>
      </c>
      <c r="R136" s="63">
        <v>0.15</v>
      </c>
      <c r="S136" s="142">
        <f t="shared" si="8"/>
        <v>0.15</v>
      </c>
      <c r="T136" s="414">
        <v>0</v>
      </c>
      <c r="U136" s="62">
        <v>0</v>
      </c>
      <c r="V136" s="61"/>
      <c r="W136" s="414">
        <v>0</v>
      </c>
      <c r="X136" s="287">
        <v>0</v>
      </c>
      <c r="Y136" s="61"/>
      <c r="Z136" s="414">
        <v>0</v>
      </c>
      <c r="AA136" s="287">
        <v>0</v>
      </c>
      <c r="AB136" s="61"/>
      <c r="AC136" s="414">
        <v>0</v>
      </c>
      <c r="AD136" s="73">
        <v>0.12180000000000001</v>
      </c>
      <c r="AE136" s="414" t="s">
        <v>1312</v>
      </c>
      <c r="AF136" s="414">
        <v>0</v>
      </c>
      <c r="AG136" s="278">
        <v>0.13500000000000001</v>
      </c>
      <c r="AH136" s="414"/>
      <c r="AI136" s="414">
        <v>0</v>
      </c>
      <c r="AJ136" s="210">
        <v>0.184</v>
      </c>
      <c r="AK136" s="414" t="s">
        <v>1313</v>
      </c>
      <c r="AL136" s="414">
        <v>0</v>
      </c>
      <c r="AM136" s="414"/>
      <c r="AN136" s="414"/>
      <c r="AO136" s="414">
        <v>0</v>
      </c>
      <c r="AP136" s="414"/>
      <c r="AQ136" s="414"/>
      <c r="AR136" s="414">
        <v>0</v>
      </c>
      <c r="AS136" s="414"/>
      <c r="AT136" s="414"/>
      <c r="AU136" s="414">
        <v>0</v>
      </c>
      <c r="AV136" s="414"/>
      <c r="AW136" s="414"/>
      <c r="AX136" s="414">
        <v>0</v>
      </c>
      <c r="AY136" s="414"/>
      <c r="AZ136" s="414"/>
      <c r="BA136" s="173">
        <v>0.15</v>
      </c>
      <c r="BB136" s="142"/>
      <c r="BC136" s="142"/>
      <c r="BD136" s="229">
        <f t="shared" si="11"/>
        <v>0</v>
      </c>
      <c r="BE136" s="391">
        <f>+AJ136</f>
        <v>0.184</v>
      </c>
      <c r="BF136" s="60">
        <f t="shared" si="10"/>
        <v>1.2266666666666668</v>
      </c>
    </row>
    <row r="137" spans="2:59" s="2" customFormat="1" ht="87" hidden="1" customHeight="1">
      <c r="B137" s="44" t="s">
        <v>150</v>
      </c>
      <c r="C137" s="27" t="s">
        <v>1314</v>
      </c>
      <c r="D137" s="665"/>
      <c r="E137" s="415" t="s">
        <v>151</v>
      </c>
      <c r="F137" s="415" t="s">
        <v>1108</v>
      </c>
      <c r="G137" s="415" t="s">
        <v>1315</v>
      </c>
      <c r="H137" s="415" t="s">
        <v>690</v>
      </c>
      <c r="I137" s="415">
        <v>1</v>
      </c>
      <c r="J137" s="415" t="s">
        <v>1110</v>
      </c>
      <c r="K137" s="415" t="s">
        <v>79</v>
      </c>
      <c r="L137" s="415" t="s">
        <v>78</v>
      </c>
      <c r="M137" s="415" t="s">
        <v>1076</v>
      </c>
      <c r="N137" s="415" t="s">
        <v>1096</v>
      </c>
      <c r="O137" s="64">
        <v>44197</v>
      </c>
      <c r="P137" s="64">
        <v>44561</v>
      </c>
      <c r="Q137" s="192">
        <f t="shared" si="9"/>
        <v>1.9302999999999999</v>
      </c>
      <c r="R137" s="65">
        <v>0.5</v>
      </c>
      <c r="S137" s="66">
        <f t="shared" si="8"/>
        <v>0.5</v>
      </c>
      <c r="T137" s="415">
        <v>0</v>
      </c>
      <c r="U137" s="127">
        <v>0</v>
      </c>
      <c r="V137" s="193"/>
      <c r="W137" s="415">
        <v>0</v>
      </c>
      <c r="X137" s="288">
        <v>0</v>
      </c>
      <c r="Y137" s="193"/>
      <c r="Z137" s="415">
        <v>0</v>
      </c>
      <c r="AA137" s="288">
        <v>0</v>
      </c>
      <c r="AB137" s="193"/>
      <c r="AC137" s="415">
        <v>0</v>
      </c>
      <c r="AD137" s="184">
        <v>0.52829999999999999</v>
      </c>
      <c r="AE137" s="415" t="s">
        <v>1316</v>
      </c>
      <c r="AF137" s="415">
        <v>0</v>
      </c>
      <c r="AG137" s="279">
        <v>0.67500000000000004</v>
      </c>
      <c r="AH137" s="415"/>
      <c r="AI137" s="415">
        <v>0</v>
      </c>
      <c r="AJ137" s="381">
        <v>0.72699999999999998</v>
      </c>
      <c r="AK137" s="414" t="s">
        <v>1317</v>
      </c>
      <c r="AL137" s="415">
        <v>0</v>
      </c>
      <c r="AM137" s="415"/>
      <c r="AN137" s="415"/>
      <c r="AO137" s="415">
        <v>0</v>
      </c>
      <c r="AP137" s="415"/>
      <c r="AQ137" s="415"/>
      <c r="AR137" s="415">
        <v>0</v>
      </c>
      <c r="AS137" s="415"/>
      <c r="AT137" s="415"/>
      <c r="AU137" s="415">
        <v>0</v>
      </c>
      <c r="AV137" s="415"/>
      <c r="AW137" s="415"/>
      <c r="AX137" s="415">
        <v>0</v>
      </c>
      <c r="AY137" s="415"/>
      <c r="AZ137" s="415"/>
      <c r="BA137" s="177">
        <v>0.5</v>
      </c>
      <c r="BB137" s="66"/>
      <c r="BC137" s="66"/>
      <c r="BD137" s="229">
        <f t="shared" si="11"/>
        <v>0</v>
      </c>
      <c r="BE137" s="385">
        <f>+AJ137</f>
        <v>0.72699999999999998</v>
      </c>
      <c r="BF137" s="67">
        <f t="shared" si="10"/>
        <v>1.454</v>
      </c>
    </row>
    <row r="138" spans="2:59" s="2" customFormat="1" ht="24" hidden="1" customHeight="1">
      <c r="B138" s="44" t="s">
        <v>177</v>
      </c>
      <c r="C138" s="101" t="s">
        <v>1318</v>
      </c>
      <c r="D138" s="672" t="s">
        <v>17</v>
      </c>
      <c r="E138" s="647" t="s">
        <v>178</v>
      </c>
      <c r="F138" s="647" t="s">
        <v>1319</v>
      </c>
      <c r="G138" s="69" t="s">
        <v>1320</v>
      </c>
      <c r="H138" s="69" t="s">
        <v>531</v>
      </c>
      <c r="I138" s="69">
        <v>0.1</v>
      </c>
      <c r="J138" s="69" t="s">
        <v>179</v>
      </c>
      <c r="K138" s="69" t="s">
        <v>73</v>
      </c>
      <c r="L138" s="69" t="s">
        <v>1321</v>
      </c>
      <c r="M138" s="69" t="s">
        <v>1322</v>
      </c>
      <c r="N138" s="69" t="s">
        <v>1323</v>
      </c>
      <c r="O138" s="70">
        <v>44197</v>
      </c>
      <c r="P138" s="70">
        <v>44561</v>
      </c>
      <c r="Q138" s="69">
        <f t="shared" si="9"/>
        <v>0.1125</v>
      </c>
      <c r="R138" s="69">
        <v>80</v>
      </c>
      <c r="S138" s="71">
        <f t="shared" si="8"/>
        <v>40.5</v>
      </c>
      <c r="T138" s="69">
        <v>0</v>
      </c>
      <c r="U138" s="69">
        <v>0</v>
      </c>
      <c r="V138" s="69" t="s">
        <v>1324</v>
      </c>
      <c r="W138" s="69">
        <v>0</v>
      </c>
      <c r="X138" s="69">
        <v>0</v>
      </c>
      <c r="Y138" s="69" t="s">
        <v>1325</v>
      </c>
      <c r="Z138" s="69">
        <v>0</v>
      </c>
      <c r="AA138" s="83">
        <v>0</v>
      </c>
      <c r="AB138" s="83" t="s">
        <v>1326</v>
      </c>
      <c r="AC138" s="69">
        <v>0</v>
      </c>
      <c r="AD138" s="83">
        <v>0</v>
      </c>
      <c r="AE138" s="327" t="s">
        <v>1327</v>
      </c>
      <c r="AF138" s="69">
        <v>0</v>
      </c>
      <c r="AG138" s="240">
        <f>4/R138</f>
        <v>0.05</v>
      </c>
      <c r="AH138" s="156" t="s">
        <v>1328</v>
      </c>
      <c r="AI138" s="69">
        <f>40/R138</f>
        <v>0.5</v>
      </c>
      <c r="AJ138" s="69">
        <f>+(5/40)*AI138</f>
        <v>6.25E-2</v>
      </c>
      <c r="AK138" s="69" t="s">
        <v>1329</v>
      </c>
      <c r="AL138" s="69">
        <v>0</v>
      </c>
      <c r="AM138" s="69"/>
      <c r="AN138" s="69"/>
      <c r="AO138" s="69">
        <v>0</v>
      </c>
      <c r="AP138" s="69"/>
      <c r="AQ138" s="69"/>
      <c r="AR138" s="69">
        <v>0</v>
      </c>
      <c r="AS138" s="69"/>
      <c r="AT138" s="69"/>
      <c r="AU138" s="69">
        <v>0</v>
      </c>
      <c r="AV138" s="69"/>
      <c r="AW138" s="69"/>
      <c r="AX138" s="69">
        <v>0</v>
      </c>
      <c r="AY138" s="69"/>
      <c r="AZ138" s="69"/>
      <c r="BA138" s="69">
        <v>40</v>
      </c>
      <c r="BB138" s="71"/>
      <c r="BC138" s="71"/>
      <c r="BD138" s="413">
        <f t="shared" si="11"/>
        <v>0.5</v>
      </c>
      <c r="BE138" s="413">
        <f t="shared" si="12"/>
        <v>0.1125</v>
      </c>
      <c r="BF138" s="72">
        <f t="shared" si="10"/>
        <v>0.22500000000000001</v>
      </c>
      <c r="BG138" s="2">
        <f>+AVERAGE(BF138:BF183)</f>
        <v>1.1400555555555554</v>
      </c>
    </row>
    <row r="139" spans="2:59" s="2" customFormat="1" ht="52.5" hidden="1" customHeight="1">
      <c r="B139" s="44" t="s">
        <v>177</v>
      </c>
      <c r="C139" s="27" t="s">
        <v>1330</v>
      </c>
      <c r="D139" s="673"/>
      <c r="E139" s="648"/>
      <c r="F139" s="648"/>
      <c r="G139" s="417" t="s">
        <v>1331</v>
      </c>
      <c r="H139" s="417" t="s">
        <v>531</v>
      </c>
      <c r="I139" s="417">
        <v>0.2</v>
      </c>
      <c r="J139" s="417" t="s">
        <v>179</v>
      </c>
      <c r="K139" s="417" t="s">
        <v>73</v>
      </c>
      <c r="L139" s="417" t="s">
        <v>1332</v>
      </c>
      <c r="M139" s="417" t="s">
        <v>1322</v>
      </c>
      <c r="N139" s="417" t="s">
        <v>1323</v>
      </c>
      <c r="O139" s="40">
        <v>44197</v>
      </c>
      <c r="P139" s="40">
        <v>44561</v>
      </c>
      <c r="Q139" s="417">
        <f t="shared" si="9"/>
        <v>0</v>
      </c>
      <c r="R139" s="417">
        <v>2</v>
      </c>
      <c r="S139" s="41">
        <f t="shared" si="8"/>
        <v>0.5</v>
      </c>
      <c r="T139" s="417">
        <v>0</v>
      </c>
      <c r="U139" s="417">
        <v>0</v>
      </c>
      <c r="V139" s="417" t="s">
        <v>1333</v>
      </c>
      <c r="W139" s="417">
        <v>0</v>
      </c>
      <c r="X139" s="417">
        <v>0</v>
      </c>
      <c r="Y139" s="417" t="s">
        <v>1334</v>
      </c>
      <c r="Z139" s="417">
        <v>0</v>
      </c>
      <c r="AA139" s="82">
        <v>0</v>
      </c>
      <c r="AB139" s="82" t="s">
        <v>1335</v>
      </c>
      <c r="AC139" s="417">
        <v>0</v>
      </c>
      <c r="AD139" s="82">
        <v>0</v>
      </c>
      <c r="AE139" s="328" t="s">
        <v>1336</v>
      </c>
      <c r="AF139" s="417">
        <v>0</v>
      </c>
      <c r="AG139" s="138">
        <v>0</v>
      </c>
      <c r="AH139" s="179" t="s">
        <v>1337</v>
      </c>
      <c r="AI139" s="417">
        <f>1/R139</f>
        <v>0.5</v>
      </c>
      <c r="AJ139" s="417">
        <v>0</v>
      </c>
      <c r="AK139" s="417" t="s">
        <v>1338</v>
      </c>
      <c r="AL139" s="417">
        <v>0</v>
      </c>
      <c r="AM139" s="417"/>
      <c r="AN139" s="417"/>
      <c r="AO139" s="417">
        <v>0</v>
      </c>
      <c r="AP139" s="417"/>
      <c r="AQ139" s="417"/>
      <c r="AR139" s="417">
        <v>0</v>
      </c>
      <c r="AS139" s="417"/>
      <c r="AT139" s="417"/>
      <c r="AU139" s="417">
        <v>0</v>
      </c>
      <c r="AV139" s="417"/>
      <c r="AW139" s="417"/>
      <c r="AX139" s="417">
        <v>0</v>
      </c>
      <c r="AY139" s="417"/>
      <c r="AZ139" s="417"/>
      <c r="BA139" s="417">
        <v>0</v>
      </c>
      <c r="BB139" s="41"/>
      <c r="BC139" s="41"/>
      <c r="BD139" s="413">
        <f t="shared" si="11"/>
        <v>0.5</v>
      </c>
      <c r="BE139" s="413">
        <f t="shared" si="12"/>
        <v>0</v>
      </c>
      <c r="BF139" s="68">
        <f t="shared" si="10"/>
        <v>0</v>
      </c>
    </row>
    <row r="140" spans="2:59" s="2" customFormat="1" ht="52.5" customHeight="1">
      <c r="B140" s="44" t="s">
        <v>177</v>
      </c>
      <c r="C140" s="27" t="s">
        <v>1339</v>
      </c>
      <c r="D140" s="673"/>
      <c r="E140" s="648"/>
      <c r="F140" s="648"/>
      <c r="G140" s="417" t="s">
        <v>1340</v>
      </c>
      <c r="H140" s="417" t="s">
        <v>531</v>
      </c>
      <c r="I140" s="417">
        <v>0.1</v>
      </c>
      <c r="J140" s="417" t="s">
        <v>179</v>
      </c>
      <c r="K140" s="417" t="s">
        <v>73</v>
      </c>
      <c r="L140" s="417" t="s">
        <v>1341</v>
      </c>
      <c r="M140" s="417" t="s">
        <v>1322</v>
      </c>
      <c r="N140" s="417" t="s">
        <v>1323</v>
      </c>
      <c r="O140" s="40">
        <v>44197</v>
      </c>
      <c r="P140" s="40">
        <v>44561</v>
      </c>
      <c r="Q140" s="417">
        <f t="shared" si="9"/>
        <v>5</v>
      </c>
      <c r="R140" s="417">
        <v>1</v>
      </c>
      <c r="S140" s="41">
        <f t="shared" si="8"/>
        <v>2</v>
      </c>
      <c r="T140" s="417">
        <v>0</v>
      </c>
      <c r="U140" s="417">
        <v>1</v>
      </c>
      <c r="V140" s="417" t="s">
        <v>1342</v>
      </c>
      <c r="W140" s="417">
        <v>0</v>
      </c>
      <c r="X140" s="417">
        <v>1</v>
      </c>
      <c r="Y140" s="417" t="s">
        <v>1343</v>
      </c>
      <c r="Z140" s="417">
        <v>0</v>
      </c>
      <c r="AA140" s="82">
        <v>0</v>
      </c>
      <c r="AB140" s="82" t="s">
        <v>1344</v>
      </c>
      <c r="AC140" s="417">
        <v>1</v>
      </c>
      <c r="AD140" s="82">
        <f>+(2/1)*R140</f>
        <v>2</v>
      </c>
      <c r="AE140" s="328" t="s">
        <v>1345</v>
      </c>
      <c r="AF140" s="417">
        <v>1</v>
      </c>
      <c r="AG140" s="138">
        <v>1</v>
      </c>
      <c r="AH140" s="179" t="s">
        <v>1346</v>
      </c>
      <c r="AI140" s="417">
        <v>0</v>
      </c>
      <c r="AJ140" s="417">
        <v>0</v>
      </c>
      <c r="AK140" s="417" t="s">
        <v>1347</v>
      </c>
      <c r="AL140" s="417">
        <v>0</v>
      </c>
      <c r="AM140" s="417"/>
      <c r="AN140" s="417"/>
      <c r="AO140" s="417">
        <v>0</v>
      </c>
      <c r="AP140" s="417"/>
      <c r="AQ140" s="417"/>
      <c r="AR140" s="417">
        <v>0</v>
      </c>
      <c r="AS140" s="417"/>
      <c r="AT140" s="417"/>
      <c r="AU140" s="417">
        <v>0</v>
      </c>
      <c r="AV140" s="417"/>
      <c r="AW140" s="417"/>
      <c r="AX140" s="417">
        <v>0</v>
      </c>
      <c r="AY140" s="417"/>
      <c r="AZ140" s="417"/>
      <c r="BA140" s="417">
        <v>0</v>
      </c>
      <c r="BB140" s="41"/>
      <c r="BC140" s="41"/>
      <c r="BD140" s="413">
        <f t="shared" si="11"/>
        <v>2</v>
      </c>
      <c r="BE140" s="413">
        <f t="shared" si="12"/>
        <v>5</v>
      </c>
      <c r="BF140" s="68">
        <f t="shared" si="10"/>
        <v>2.5</v>
      </c>
    </row>
    <row r="141" spans="2:59" s="2" customFormat="1" ht="52.5" hidden="1" customHeight="1">
      <c r="B141" s="44" t="s">
        <v>177</v>
      </c>
      <c r="C141" s="27" t="s">
        <v>1348</v>
      </c>
      <c r="D141" s="673"/>
      <c r="E141" s="648"/>
      <c r="F141" s="648"/>
      <c r="G141" s="410" t="s">
        <v>1349</v>
      </c>
      <c r="H141" s="410" t="s">
        <v>531</v>
      </c>
      <c r="I141" s="410">
        <v>0.1</v>
      </c>
      <c r="J141" s="410" t="s">
        <v>179</v>
      </c>
      <c r="K141" s="410" t="s">
        <v>73</v>
      </c>
      <c r="L141" s="410" t="s">
        <v>1341</v>
      </c>
      <c r="M141" s="410" t="s">
        <v>1322</v>
      </c>
      <c r="N141" s="410" t="s">
        <v>1323</v>
      </c>
      <c r="O141" s="38">
        <v>44197</v>
      </c>
      <c r="P141" s="38">
        <v>44561</v>
      </c>
      <c r="Q141" s="410">
        <f t="shared" si="9"/>
        <v>0</v>
      </c>
      <c r="R141" s="410">
        <v>2</v>
      </c>
      <c r="S141" s="413">
        <f t="shared" si="8"/>
        <v>1.5</v>
      </c>
      <c r="T141" s="410">
        <v>0</v>
      </c>
      <c r="U141" s="410">
        <v>0</v>
      </c>
      <c r="V141" s="410" t="s">
        <v>1350</v>
      </c>
      <c r="W141" s="410">
        <v>0</v>
      </c>
      <c r="X141" s="410">
        <v>0</v>
      </c>
      <c r="Y141" s="410" t="s">
        <v>1351</v>
      </c>
      <c r="Z141" s="410">
        <v>0</v>
      </c>
      <c r="AA141" s="51">
        <v>0</v>
      </c>
      <c r="AB141" s="51" t="s">
        <v>1352</v>
      </c>
      <c r="AC141" s="410">
        <v>0</v>
      </c>
      <c r="AD141" s="51">
        <v>0</v>
      </c>
      <c r="AE141" s="30" t="s">
        <v>1353</v>
      </c>
      <c r="AF141" s="410">
        <v>0</v>
      </c>
      <c r="AG141" s="241">
        <v>0</v>
      </c>
      <c r="AH141" s="154" t="s">
        <v>1354</v>
      </c>
      <c r="AI141" s="410">
        <f>1/R141</f>
        <v>0.5</v>
      </c>
      <c r="AJ141" s="410">
        <v>0</v>
      </c>
      <c r="AK141" s="410" t="s">
        <v>1355</v>
      </c>
      <c r="AL141" s="410">
        <v>0</v>
      </c>
      <c r="AM141" s="410"/>
      <c r="AN141" s="410"/>
      <c r="AO141" s="410">
        <v>0</v>
      </c>
      <c r="AP141" s="410"/>
      <c r="AQ141" s="410"/>
      <c r="AR141" s="410">
        <v>0</v>
      </c>
      <c r="AS141" s="410"/>
      <c r="AT141" s="410"/>
      <c r="AU141" s="410">
        <v>0</v>
      </c>
      <c r="AV141" s="410"/>
      <c r="AW141" s="410"/>
      <c r="AX141" s="410">
        <v>0</v>
      </c>
      <c r="AY141" s="410"/>
      <c r="AZ141" s="410"/>
      <c r="BA141" s="137">
        <v>1</v>
      </c>
      <c r="BB141" s="413"/>
      <c r="BC141" s="413"/>
      <c r="BD141" s="413">
        <f t="shared" si="11"/>
        <v>0.5</v>
      </c>
      <c r="BE141" s="413">
        <f t="shared" si="12"/>
        <v>0</v>
      </c>
      <c r="BF141" s="48">
        <f t="shared" si="10"/>
        <v>0</v>
      </c>
    </row>
    <row r="142" spans="2:59" s="2" customFormat="1" ht="52.5" hidden="1" customHeight="1">
      <c r="B142" s="44" t="s">
        <v>177</v>
      </c>
      <c r="C142" s="27" t="s">
        <v>1356</v>
      </c>
      <c r="D142" s="673"/>
      <c r="E142" s="648"/>
      <c r="F142" s="648"/>
      <c r="G142" s="417" t="s">
        <v>1357</v>
      </c>
      <c r="H142" s="417" t="s">
        <v>531</v>
      </c>
      <c r="I142" s="417">
        <v>0.1</v>
      </c>
      <c r="J142" s="417" t="s">
        <v>179</v>
      </c>
      <c r="K142" s="417" t="s">
        <v>73</v>
      </c>
      <c r="L142" s="417" t="s">
        <v>518</v>
      </c>
      <c r="M142" s="417" t="s">
        <v>1322</v>
      </c>
      <c r="N142" s="417" t="s">
        <v>1323</v>
      </c>
      <c r="O142" s="40">
        <v>44197</v>
      </c>
      <c r="P142" s="40">
        <v>44561</v>
      </c>
      <c r="Q142" s="417">
        <f t="shared" si="9"/>
        <v>0</v>
      </c>
      <c r="R142" s="417">
        <v>500</v>
      </c>
      <c r="S142" s="41">
        <f t="shared" ref="S142:S208" si="13">+T142+W142+Z142+AC142+AF142+AI142+AL142+AO142+AR142+AU142+AX142+BA142</f>
        <v>300.39999999999998</v>
      </c>
      <c r="T142" s="417">
        <v>0</v>
      </c>
      <c r="U142" s="417">
        <v>0</v>
      </c>
      <c r="V142" s="417" t="s">
        <v>1358</v>
      </c>
      <c r="W142" s="417">
        <v>0</v>
      </c>
      <c r="X142" s="417">
        <v>0</v>
      </c>
      <c r="Y142" s="417" t="s">
        <v>1359</v>
      </c>
      <c r="Z142" s="417">
        <f>50/R142</f>
        <v>0.1</v>
      </c>
      <c r="AA142" s="82">
        <v>0</v>
      </c>
      <c r="AB142" s="82" t="s">
        <v>1360</v>
      </c>
      <c r="AC142" s="417">
        <f>50/R142</f>
        <v>0.1</v>
      </c>
      <c r="AD142" s="328">
        <v>0</v>
      </c>
      <c r="AE142" s="82" t="s">
        <v>1361</v>
      </c>
      <c r="AF142" s="417">
        <f>50/R142</f>
        <v>0.1</v>
      </c>
      <c r="AG142" s="138">
        <v>0</v>
      </c>
      <c r="AH142" s="179" t="s">
        <v>1362</v>
      </c>
      <c r="AI142" s="417">
        <f>50/R142</f>
        <v>0.1</v>
      </c>
      <c r="AJ142" s="417">
        <v>0</v>
      </c>
      <c r="AK142" s="417" t="s">
        <v>1363</v>
      </c>
      <c r="AL142" s="417">
        <v>50</v>
      </c>
      <c r="AM142" s="417"/>
      <c r="AN142" s="417"/>
      <c r="AO142" s="417">
        <v>50</v>
      </c>
      <c r="AP142" s="417"/>
      <c r="AQ142" s="417"/>
      <c r="AR142" s="417">
        <v>50</v>
      </c>
      <c r="AS142" s="417"/>
      <c r="AT142" s="417"/>
      <c r="AU142" s="417">
        <v>50</v>
      </c>
      <c r="AV142" s="417"/>
      <c r="AW142" s="417"/>
      <c r="AX142" s="417">
        <v>50</v>
      </c>
      <c r="AY142" s="417"/>
      <c r="AZ142" s="417"/>
      <c r="BA142" s="417">
        <v>50</v>
      </c>
      <c r="BB142" s="41"/>
      <c r="BC142" s="41"/>
      <c r="BD142" s="413">
        <f>+T142+W142+Z142+AC142+AF142+AI142</f>
        <v>0.4</v>
      </c>
      <c r="BE142" s="413">
        <f t="shared" si="12"/>
        <v>0</v>
      </c>
      <c r="BF142" s="68">
        <f t="shared" si="10"/>
        <v>0</v>
      </c>
    </row>
    <row r="143" spans="2:59" s="2" customFormat="1" ht="52.5" hidden="1" customHeight="1">
      <c r="B143" s="44" t="s">
        <v>177</v>
      </c>
      <c r="C143" s="27" t="s">
        <v>1364</v>
      </c>
      <c r="D143" s="673"/>
      <c r="E143" s="648"/>
      <c r="F143" s="648"/>
      <c r="G143" s="417" t="s">
        <v>1365</v>
      </c>
      <c r="H143" s="417" t="s">
        <v>531</v>
      </c>
      <c r="I143" s="417">
        <v>0.1</v>
      </c>
      <c r="J143" s="417" t="s">
        <v>179</v>
      </c>
      <c r="K143" s="417" t="s">
        <v>73</v>
      </c>
      <c r="L143" s="417" t="s">
        <v>1321</v>
      </c>
      <c r="M143" s="417" t="s">
        <v>1322</v>
      </c>
      <c r="N143" s="417" t="s">
        <v>1323</v>
      </c>
      <c r="O143" s="40">
        <v>44197</v>
      </c>
      <c r="P143" s="40">
        <v>44561</v>
      </c>
      <c r="Q143" s="417">
        <f t="shared" ref="Q143:Q210" si="14">+U143+X143+AA143+AD143+AG143+AJ143+AM143+AP143+AS143+AV143+AY143+BB143</f>
        <v>0</v>
      </c>
      <c r="R143" s="417">
        <v>300</v>
      </c>
      <c r="S143" s="41">
        <f t="shared" si="13"/>
        <v>300</v>
      </c>
      <c r="T143" s="417">
        <v>0</v>
      </c>
      <c r="U143" s="417">
        <v>0</v>
      </c>
      <c r="V143" s="417" t="s">
        <v>1366</v>
      </c>
      <c r="W143" s="417">
        <v>0</v>
      </c>
      <c r="X143" s="417">
        <v>0</v>
      </c>
      <c r="Y143" s="417" t="s">
        <v>1367</v>
      </c>
      <c r="Z143" s="417">
        <v>0</v>
      </c>
      <c r="AA143" s="82">
        <v>0</v>
      </c>
      <c r="AB143" s="82" t="s">
        <v>1368</v>
      </c>
      <c r="AC143" s="417">
        <v>0</v>
      </c>
      <c r="AD143" s="328">
        <v>0</v>
      </c>
      <c r="AE143" s="82" t="s">
        <v>1369</v>
      </c>
      <c r="AF143" s="417">
        <v>0</v>
      </c>
      <c r="AG143" s="138">
        <v>0</v>
      </c>
      <c r="AH143" s="179" t="s">
        <v>1370</v>
      </c>
      <c r="AI143" s="417">
        <v>0</v>
      </c>
      <c r="AJ143" s="417">
        <v>0</v>
      </c>
      <c r="AK143" s="417" t="s">
        <v>1371</v>
      </c>
      <c r="AL143" s="417">
        <v>0</v>
      </c>
      <c r="AM143" s="417"/>
      <c r="AN143" s="417"/>
      <c r="AO143" s="417">
        <v>0</v>
      </c>
      <c r="AP143" s="417"/>
      <c r="AQ143" s="417"/>
      <c r="AR143" s="417">
        <v>150</v>
      </c>
      <c r="AS143" s="417"/>
      <c r="AT143" s="417"/>
      <c r="AU143" s="417">
        <v>0</v>
      </c>
      <c r="AV143" s="417"/>
      <c r="AW143" s="417"/>
      <c r="AX143" s="417">
        <v>150</v>
      </c>
      <c r="AY143" s="417"/>
      <c r="AZ143" s="417"/>
      <c r="BA143" s="417">
        <v>0</v>
      </c>
      <c r="BB143" s="41"/>
      <c r="BC143" s="41"/>
      <c r="BD143" s="413">
        <f t="shared" si="11"/>
        <v>0</v>
      </c>
      <c r="BE143" s="413">
        <f t="shared" si="12"/>
        <v>0</v>
      </c>
      <c r="BF143" s="68" t="str">
        <f t="shared" ref="BF143:BF209" si="15">+IF(BD143=0,+IF(BE143=0,"No programación, No avance",+IF(BE143&gt;0,+IF(BD143=0,BE143/R143))),BE143/BD143)</f>
        <v>No programación, No avance</v>
      </c>
    </row>
    <row r="144" spans="2:59" s="2" customFormat="1" ht="52.5" hidden="1" customHeight="1">
      <c r="B144" s="44" t="s">
        <v>177</v>
      </c>
      <c r="C144" s="27" t="s">
        <v>1372</v>
      </c>
      <c r="D144" s="673"/>
      <c r="E144" s="648"/>
      <c r="F144" s="648"/>
      <c r="G144" s="417" t="s">
        <v>1373</v>
      </c>
      <c r="H144" s="417" t="s">
        <v>531</v>
      </c>
      <c r="I144" s="417">
        <v>0.1</v>
      </c>
      <c r="J144" s="417" t="s">
        <v>179</v>
      </c>
      <c r="K144" s="417" t="s">
        <v>73</v>
      </c>
      <c r="L144" s="417" t="s">
        <v>1374</v>
      </c>
      <c r="M144" s="417" t="s">
        <v>1322</v>
      </c>
      <c r="N144" s="417" t="s">
        <v>1323</v>
      </c>
      <c r="O144" s="40">
        <v>44197</v>
      </c>
      <c r="P144" s="40">
        <v>44561</v>
      </c>
      <c r="Q144" s="417">
        <f t="shared" si="14"/>
        <v>0</v>
      </c>
      <c r="R144" s="417">
        <v>1</v>
      </c>
      <c r="S144" s="41">
        <f t="shared" si="13"/>
        <v>1</v>
      </c>
      <c r="T144" s="417">
        <v>0</v>
      </c>
      <c r="U144" s="417">
        <v>0</v>
      </c>
      <c r="V144" s="417" t="s">
        <v>1375</v>
      </c>
      <c r="W144" s="417">
        <v>0</v>
      </c>
      <c r="X144" s="417">
        <v>0</v>
      </c>
      <c r="Y144" s="417" t="s">
        <v>1366</v>
      </c>
      <c r="Z144" s="417">
        <v>0</v>
      </c>
      <c r="AA144" s="82">
        <v>0</v>
      </c>
      <c r="AB144" s="82" t="s">
        <v>1376</v>
      </c>
      <c r="AC144" s="417">
        <v>0</v>
      </c>
      <c r="AD144" s="328">
        <v>0</v>
      </c>
      <c r="AE144" s="328" t="s">
        <v>1377</v>
      </c>
      <c r="AF144" s="417">
        <v>0</v>
      </c>
      <c r="AG144" s="138">
        <v>0</v>
      </c>
      <c r="AH144" s="179" t="s">
        <v>1378</v>
      </c>
      <c r="AI144" s="417">
        <v>0</v>
      </c>
      <c r="AJ144" s="417">
        <v>0</v>
      </c>
      <c r="AK144" s="417" t="s">
        <v>1379</v>
      </c>
      <c r="AL144" s="417">
        <v>0</v>
      </c>
      <c r="AM144" s="417"/>
      <c r="AN144" s="417"/>
      <c r="AO144" s="417">
        <v>0</v>
      </c>
      <c r="AP144" s="417"/>
      <c r="AQ144" s="417"/>
      <c r="AR144" s="417">
        <v>1</v>
      </c>
      <c r="AS144" s="417"/>
      <c r="AT144" s="417"/>
      <c r="AU144" s="417">
        <v>0</v>
      </c>
      <c r="AV144" s="417"/>
      <c r="AW144" s="417"/>
      <c r="AX144" s="417">
        <v>0</v>
      </c>
      <c r="AY144" s="417"/>
      <c r="AZ144" s="417"/>
      <c r="BA144" s="417">
        <v>0</v>
      </c>
      <c r="BB144" s="41"/>
      <c r="BC144" s="41"/>
      <c r="BD144" s="413">
        <f t="shared" si="11"/>
        <v>0</v>
      </c>
      <c r="BE144" s="413">
        <f t="shared" si="12"/>
        <v>0</v>
      </c>
      <c r="BF144" s="68" t="str">
        <f t="shared" si="15"/>
        <v>No programación, No avance</v>
      </c>
    </row>
    <row r="145" spans="2:61" s="2" customFormat="1" ht="52.5" hidden="1" customHeight="1">
      <c r="B145" s="44" t="s">
        <v>177</v>
      </c>
      <c r="C145" s="27" t="s">
        <v>1380</v>
      </c>
      <c r="D145" s="673"/>
      <c r="E145" s="648"/>
      <c r="F145" s="648"/>
      <c r="G145" s="417" t="s">
        <v>1381</v>
      </c>
      <c r="H145" s="417" t="s">
        <v>531</v>
      </c>
      <c r="I145" s="417">
        <v>0.1</v>
      </c>
      <c r="J145" s="417" t="s">
        <v>179</v>
      </c>
      <c r="K145" s="417" t="s">
        <v>73</v>
      </c>
      <c r="L145" s="417" t="s">
        <v>1382</v>
      </c>
      <c r="M145" s="417" t="s">
        <v>1322</v>
      </c>
      <c r="N145" s="417" t="s">
        <v>1323</v>
      </c>
      <c r="O145" s="40">
        <v>44197</v>
      </c>
      <c r="P145" s="40">
        <v>44561</v>
      </c>
      <c r="Q145" s="417">
        <f t="shared" si="14"/>
        <v>0</v>
      </c>
      <c r="R145" s="417">
        <v>1</v>
      </c>
      <c r="S145" s="41">
        <f t="shared" si="13"/>
        <v>1</v>
      </c>
      <c r="T145" s="417">
        <v>0</v>
      </c>
      <c r="U145" s="417">
        <v>0</v>
      </c>
      <c r="V145" s="417" t="s">
        <v>1383</v>
      </c>
      <c r="W145" s="417">
        <v>0</v>
      </c>
      <c r="X145" s="417">
        <v>0</v>
      </c>
      <c r="Y145" s="417" t="s">
        <v>1384</v>
      </c>
      <c r="Z145" s="417">
        <v>0</v>
      </c>
      <c r="AA145" s="82">
        <v>0</v>
      </c>
      <c r="AB145" s="82" t="s">
        <v>1385</v>
      </c>
      <c r="AC145" s="417">
        <v>0</v>
      </c>
      <c r="AD145" s="328">
        <v>0</v>
      </c>
      <c r="AE145" s="328" t="s">
        <v>1386</v>
      </c>
      <c r="AF145" s="417">
        <v>0</v>
      </c>
      <c r="AG145" s="138">
        <v>0</v>
      </c>
      <c r="AH145" s="179" t="s">
        <v>1071</v>
      </c>
      <c r="AI145" s="417">
        <v>0</v>
      </c>
      <c r="AJ145" s="417">
        <v>0</v>
      </c>
      <c r="AK145" s="417" t="s">
        <v>1387</v>
      </c>
      <c r="AL145" s="417">
        <v>1</v>
      </c>
      <c r="AM145" s="417"/>
      <c r="AN145" s="417"/>
      <c r="AO145" s="417">
        <v>0</v>
      </c>
      <c r="AP145" s="417"/>
      <c r="AQ145" s="417"/>
      <c r="AR145" s="417">
        <v>0</v>
      </c>
      <c r="AS145" s="417"/>
      <c r="AT145" s="417"/>
      <c r="AU145" s="417">
        <v>0</v>
      </c>
      <c r="AV145" s="417"/>
      <c r="AW145" s="417"/>
      <c r="AX145" s="417">
        <v>0</v>
      </c>
      <c r="AY145" s="417"/>
      <c r="AZ145" s="417"/>
      <c r="BA145" s="417">
        <v>0</v>
      </c>
      <c r="BB145" s="41"/>
      <c r="BC145" s="41"/>
      <c r="BD145" s="413">
        <f t="shared" si="11"/>
        <v>0</v>
      </c>
      <c r="BE145" s="413">
        <f t="shared" si="12"/>
        <v>0</v>
      </c>
      <c r="BF145" s="68" t="str">
        <f t="shared" si="15"/>
        <v>No programación, No avance</v>
      </c>
    </row>
    <row r="146" spans="2:61" s="2" customFormat="1" ht="52.5" hidden="1" customHeight="1">
      <c r="B146" s="44" t="s">
        <v>177</v>
      </c>
      <c r="C146" s="27" t="s">
        <v>1388</v>
      </c>
      <c r="D146" s="673"/>
      <c r="E146" s="648"/>
      <c r="F146" s="648"/>
      <c r="G146" s="417" t="s">
        <v>1389</v>
      </c>
      <c r="H146" s="417" t="s">
        <v>531</v>
      </c>
      <c r="I146" s="417">
        <v>0.1</v>
      </c>
      <c r="J146" s="417" t="s">
        <v>179</v>
      </c>
      <c r="K146" s="417" t="s">
        <v>73</v>
      </c>
      <c r="L146" s="417" t="s">
        <v>1390</v>
      </c>
      <c r="M146" s="417" t="s">
        <v>1322</v>
      </c>
      <c r="N146" s="417" t="s">
        <v>1323</v>
      </c>
      <c r="O146" s="40">
        <v>44197</v>
      </c>
      <c r="P146" s="40">
        <v>44561</v>
      </c>
      <c r="Q146" s="417">
        <f t="shared" si="14"/>
        <v>0</v>
      </c>
      <c r="R146" s="417">
        <v>1</v>
      </c>
      <c r="S146" s="41">
        <f t="shared" si="13"/>
        <v>1</v>
      </c>
      <c r="T146" s="417">
        <v>0</v>
      </c>
      <c r="U146" s="417">
        <v>0</v>
      </c>
      <c r="V146" s="417" t="s">
        <v>1391</v>
      </c>
      <c r="W146" s="417">
        <v>0</v>
      </c>
      <c r="X146" s="417">
        <v>0</v>
      </c>
      <c r="Y146" s="417" t="s">
        <v>1392</v>
      </c>
      <c r="Z146" s="417">
        <v>0</v>
      </c>
      <c r="AA146" s="82">
        <v>0</v>
      </c>
      <c r="AB146" s="82" t="s">
        <v>1393</v>
      </c>
      <c r="AC146" s="417">
        <v>0</v>
      </c>
      <c r="AD146" s="328">
        <v>0</v>
      </c>
      <c r="AE146" s="328" t="s">
        <v>1394</v>
      </c>
      <c r="AF146" s="417">
        <v>0</v>
      </c>
      <c r="AG146" s="138">
        <v>0</v>
      </c>
      <c r="AH146" s="179" t="s">
        <v>1395</v>
      </c>
      <c r="AI146" s="417">
        <v>0</v>
      </c>
      <c r="AJ146" s="417">
        <v>0</v>
      </c>
      <c r="AK146" s="417" t="s">
        <v>1396</v>
      </c>
      <c r="AL146" s="417">
        <v>0</v>
      </c>
      <c r="AM146" s="417"/>
      <c r="AN146" s="417"/>
      <c r="AO146" s="417">
        <v>0</v>
      </c>
      <c r="AP146" s="417"/>
      <c r="AQ146" s="417"/>
      <c r="AR146" s="417">
        <v>1</v>
      </c>
      <c r="AS146" s="417"/>
      <c r="AT146" s="417"/>
      <c r="AU146" s="417">
        <v>0</v>
      </c>
      <c r="AV146" s="417"/>
      <c r="AW146" s="417"/>
      <c r="AX146" s="417">
        <v>0</v>
      </c>
      <c r="AY146" s="417"/>
      <c r="AZ146" s="417"/>
      <c r="BA146" s="417">
        <v>0</v>
      </c>
      <c r="BB146" s="41"/>
      <c r="BC146" s="41"/>
      <c r="BD146" s="413">
        <f t="shared" si="11"/>
        <v>0</v>
      </c>
      <c r="BE146" s="413">
        <f t="shared" si="12"/>
        <v>0</v>
      </c>
      <c r="BF146" s="68" t="str">
        <f t="shared" si="15"/>
        <v>No programación, No avance</v>
      </c>
    </row>
    <row r="147" spans="2:61" s="2" customFormat="1" ht="52.5" customHeight="1">
      <c r="B147" s="44" t="s">
        <v>180</v>
      </c>
      <c r="C147" s="27" t="s">
        <v>1397</v>
      </c>
      <c r="D147" s="673"/>
      <c r="E147" s="648" t="s">
        <v>181</v>
      </c>
      <c r="F147" s="648" t="s">
        <v>1398</v>
      </c>
      <c r="G147" s="410" t="s">
        <v>1399</v>
      </c>
      <c r="H147" s="410" t="s">
        <v>531</v>
      </c>
      <c r="I147" s="410">
        <v>0.1</v>
      </c>
      <c r="J147" s="410" t="s">
        <v>179</v>
      </c>
      <c r="K147" s="410" t="s">
        <v>73</v>
      </c>
      <c r="L147" s="410" t="s">
        <v>1400</v>
      </c>
      <c r="M147" s="410" t="s">
        <v>1322</v>
      </c>
      <c r="N147" s="410" t="s">
        <v>1323</v>
      </c>
      <c r="O147" s="38">
        <v>44197</v>
      </c>
      <c r="P147" s="38">
        <v>44561</v>
      </c>
      <c r="Q147" s="410">
        <f t="shared" si="14"/>
        <v>2.5</v>
      </c>
      <c r="R147" s="410">
        <v>2</v>
      </c>
      <c r="S147" s="413">
        <f t="shared" si="13"/>
        <v>1.5</v>
      </c>
      <c r="T147" s="410">
        <v>0</v>
      </c>
      <c r="U147" s="410">
        <v>0</v>
      </c>
      <c r="V147" s="410" t="s">
        <v>1401</v>
      </c>
      <c r="W147" s="410">
        <v>0</v>
      </c>
      <c r="X147" s="410">
        <v>0</v>
      </c>
      <c r="Y147" s="410" t="s">
        <v>1402</v>
      </c>
      <c r="Z147" s="410">
        <v>0</v>
      </c>
      <c r="AA147" s="51">
        <v>1</v>
      </c>
      <c r="AB147" s="51" t="s">
        <v>1403</v>
      </c>
      <c r="AC147" s="410">
        <v>0</v>
      </c>
      <c r="AD147" s="30">
        <v>0.5</v>
      </c>
      <c r="AE147" s="30" t="s">
        <v>1404</v>
      </c>
      <c r="AF147" s="315">
        <f>1/R147</f>
        <v>0.5</v>
      </c>
      <c r="AG147" s="241">
        <v>0.5</v>
      </c>
      <c r="AH147" s="154" t="s">
        <v>1405</v>
      </c>
      <c r="AI147" s="410">
        <v>0</v>
      </c>
      <c r="AJ147" s="410">
        <f>1/R147</f>
        <v>0.5</v>
      </c>
      <c r="AK147" s="410" t="s">
        <v>1406</v>
      </c>
      <c r="AL147" s="410">
        <v>1</v>
      </c>
      <c r="AM147" s="410"/>
      <c r="AN147" s="410"/>
      <c r="AO147" s="410">
        <v>0</v>
      </c>
      <c r="AP147" s="410"/>
      <c r="AQ147" s="410"/>
      <c r="AR147" s="410">
        <v>0</v>
      </c>
      <c r="AS147" s="410"/>
      <c r="AT147" s="410"/>
      <c r="AU147" s="410">
        <v>0</v>
      </c>
      <c r="AV147" s="410"/>
      <c r="AW147" s="410"/>
      <c r="AX147" s="410">
        <v>0</v>
      </c>
      <c r="AY147" s="410"/>
      <c r="AZ147" s="410"/>
      <c r="BA147" s="137">
        <v>0</v>
      </c>
      <c r="BB147" s="413"/>
      <c r="BC147" s="413"/>
      <c r="BD147" s="413">
        <f t="shared" si="11"/>
        <v>0.5</v>
      </c>
      <c r="BE147" s="413">
        <f t="shared" si="12"/>
        <v>2.5</v>
      </c>
      <c r="BF147" s="48">
        <f t="shared" si="15"/>
        <v>5</v>
      </c>
    </row>
    <row r="148" spans="2:61" s="2" customFormat="1" ht="52.5" hidden="1" customHeight="1">
      <c r="B148" s="44" t="s">
        <v>180</v>
      </c>
      <c r="C148" s="27" t="s">
        <v>1407</v>
      </c>
      <c r="D148" s="673"/>
      <c r="E148" s="648"/>
      <c r="F148" s="648"/>
      <c r="G148" s="410" t="s">
        <v>1408</v>
      </c>
      <c r="H148" s="410" t="s">
        <v>531</v>
      </c>
      <c r="I148" s="410">
        <v>0.1</v>
      </c>
      <c r="J148" s="410" t="s">
        <v>179</v>
      </c>
      <c r="K148" s="410" t="s">
        <v>73</v>
      </c>
      <c r="L148" s="410" t="s">
        <v>1409</v>
      </c>
      <c r="M148" s="410" t="s">
        <v>1322</v>
      </c>
      <c r="N148" s="410" t="s">
        <v>1323</v>
      </c>
      <c r="O148" s="38">
        <v>44197</v>
      </c>
      <c r="P148" s="38">
        <v>44561</v>
      </c>
      <c r="Q148" s="410">
        <f t="shared" si="14"/>
        <v>2</v>
      </c>
      <c r="R148" s="410">
        <v>1</v>
      </c>
      <c r="S148" s="413">
        <f t="shared" si="13"/>
        <v>1</v>
      </c>
      <c r="T148" s="410">
        <v>0</v>
      </c>
      <c r="U148" s="410">
        <v>0</v>
      </c>
      <c r="V148" s="410" t="s">
        <v>1410</v>
      </c>
      <c r="W148" s="410">
        <v>0</v>
      </c>
      <c r="X148" s="410">
        <v>1</v>
      </c>
      <c r="Y148" s="410" t="s">
        <v>1411</v>
      </c>
      <c r="Z148" s="410">
        <v>0</v>
      </c>
      <c r="AA148" s="51">
        <v>0</v>
      </c>
      <c r="AB148" s="51" t="s">
        <v>1412</v>
      </c>
      <c r="AC148" s="410">
        <v>0</v>
      </c>
      <c r="AD148" s="30">
        <v>0</v>
      </c>
      <c r="AE148" s="30" t="s">
        <v>1413</v>
      </c>
      <c r="AF148" s="410">
        <v>0</v>
      </c>
      <c r="AG148" s="241">
        <v>0</v>
      </c>
      <c r="AH148" s="154" t="s">
        <v>1414</v>
      </c>
      <c r="AI148" s="410">
        <v>0</v>
      </c>
      <c r="AJ148" s="410">
        <v>1</v>
      </c>
      <c r="AK148" s="410" t="s">
        <v>1415</v>
      </c>
      <c r="AL148" s="410">
        <v>0</v>
      </c>
      <c r="AM148" s="410"/>
      <c r="AN148" s="410"/>
      <c r="AO148" s="410">
        <v>0</v>
      </c>
      <c r="AP148" s="410"/>
      <c r="AQ148" s="410"/>
      <c r="AR148" s="410">
        <v>1</v>
      </c>
      <c r="AS148" s="410"/>
      <c r="AT148" s="410"/>
      <c r="AU148" s="410">
        <v>0</v>
      </c>
      <c r="AV148" s="410"/>
      <c r="AW148" s="410"/>
      <c r="AX148" s="410">
        <v>0</v>
      </c>
      <c r="AY148" s="410"/>
      <c r="AZ148" s="410"/>
      <c r="BA148" s="137">
        <v>0</v>
      </c>
      <c r="BB148" s="413"/>
      <c r="BC148" s="413"/>
      <c r="BD148" s="413">
        <f t="shared" si="11"/>
        <v>0</v>
      </c>
      <c r="BE148" s="413">
        <f t="shared" si="12"/>
        <v>2</v>
      </c>
      <c r="BF148" s="48">
        <f t="shared" si="15"/>
        <v>2</v>
      </c>
    </row>
    <row r="149" spans="2:61" s="2" customFormat="1" ht="52.5" hidden="1" customHeight="1" thickBot="1">
      <c r="B149" s="44" t="s">
        <v>180</v>
      </c>
      <c r="C149" s="27" t="s">
        <v>1416</v>
      </c>
      <c r="D149" s="673"/>
      <c r="E149" s="648"/>
      <c r="F149" s="648"/>
      <c r="G149" s="410" t="s">
        <v>1417</v>
      </c>
      <c r="H149" s="410" t="s">
        <v>531</v>
      </c>
      <c r="I149" s="410">
        <v>0.05</v>
      </c>
      <c r="J149" s="410" t="s">
        <v>179</v>
      </c>
      <c r="K149" s="410" t="s">
        <v>73</v>
      </c>
      <c r="L149" s="410" t="s">
        <v>1418</v>
      </c>
      <c r="M149" s="410" t="s">
        <v>1322</v>
      </c>
      <c r="N149" s="410" t="s">
        <v>1323</v>
      </c>
      <c r="O149" s="38">
        <v>44197</v>
      </c>
      <c r="P149" s="38">
        <v>44561</v>
      </c>
      <c r="Q149" s="410">
        <f t="shared" si="14"/>
        <v>1</v>
      </c>
      <c r="R149" s="410">
        <v>1</v>
      </c>
      <c r="S149" s="413">
        <f t="shared" si="13"/>
        <v>1</v>
      </c>
      <c r="T149" s="410">
        <v>0</v>
      </c>
      <c r="U149" s="410">
        <v>1</v>
      </c>
      <c r="V149" s="410" t="s">
        <v>1419</v>
      </c>
      <c r="W149" s="410">
        <v>1</v>
      </c>
      <c r="X149" s="410">
        <v>0</v>
      </c>
      <c r="Y149" s="410" t="s">
        <v>1420</v>
      </c>
      <c r="Z149" s="410">
        <v>0</v>
      </c>
      <c r="AA149" s="51">
        <v>0</v>
      </c>
      <c r="AB149" s="51" t="s">
        <v>1420</v>
      </c>
      <c r="AC149" s="410">
        <v>0</v>
      </c>
      <c r="AD149" s="30">
        <v>0</v>
      </c>
      <c r="AE149" s="30" t="s">
        <v>1420</v>
      </c>
      <c r="AF149" s="410">
        <v>0</v>
      </c>
      <c r="AG149" s="241">
        <v>0</v>
      </c>
      <c r="AH149" s="154" t="s">
        <v>1421</v>
      </c>
      <c r="AI149" s="410">
        <v>0</v>
      </c>
      <c r="AJ149" s="410">
        <v>0</v>
      </c>
      <c r="AK149" s="410" t="s">
        <v>1420</v>
      </c>
      <c r="AL149" s="410">
        <v>0</v>
      </c>
      <c r="AM149" s="410"/>
      <c r="AN149" s="410"/>
      <c r="AO149" s="410">
        <v>0</v>
      </c>
      <c r="AP149" s="410"/>
      <c r="AQ149" s="410"/>
      <c r="AR149" s="410">
        <v>0</v>
      </c>
      <c r="AS149" s="410"/>
      <c r="AT149" s="410"/>
      <c r="AU149" s="410">
        <v>0</v>
      </c>
      <c r="AV149" s="410"/>
      <c r="AW149" s="410"/>
      <c r="AX149" s="410">
        <v>0</v>
      </c>
      <c r="AY149" s="410"/>
      <c r="AZ149" s="410"/>
      <c r="BA149" s="137">
        <v>0</v>
      </c>
      <c r="BB149" s="413"/>
      <c r="BC149" s="413"/>
      <c r="BD149" s="413">
        <f t="shared" si="11"/>
        <v>1</v>
      </c>
      <c r="BE149" s="413">
        <f t="shared" si="12"/>
        <v>1</v>
      </c>
      <c r="BF149" s="48">
        <f t="shared" si="15"/>
        <v>1</v>
      </c>
    </row>
    <row r="150" spans="2:61" s="2" customFormat="1" ht="52.5" hidden="1" customHeight="1">
      <c r="B150" s="44" t="s">
        <v>180</v>
      </c>
      <c r="C150" s="27" t="s">
        <v>1422</v>
      </c>
      <c r="D150" s="673"/>
      <c r="E150" s="648"/>
      <c r="F150" s="648"/>
      <c r="G150" s="417" t="s">
        <v>1423</v>
      </c>
      <c r="H150" s="417" t="s">
        <v>531</v>
      </c>
      <c r="I150" s="417">
        <v>0.3</v>
      </c>
      <c r="J150" s="417" t="s">
        <v>179</v>
      </c>
      <c r="K150" s="417" t="s">
        <v>73</v>
      </c>
      <c r="L150" s="417" t="s">
        <v>1424</v>
      </c>
      <c r="M150" s="417" t="s">
        <v>1322</v>
      </c>
      <c r="N150" s="417" t="s">
        <v>1323</v>
      </c>
      <c r="O150" s="40">
        <v>44197</v>
      </c>
      <c r="P150" s="40">
        <v>44561</v>
      </c>
      <c r="Q150" s="417">
        <f t="shared" si="14"/>
        <v>0.33300000000000002</v>
      </c>
      <c r="R150" s="417">
        <v>3</v>
      </c>
      <c r="S150" s="41">
        <f t="shared" si="13"/>
        <v>1</v>
      </c>
      <c r="T150" s="417">
        <v>0</v>
      </c>
      <c r="U150" s="417">
        <v>0</v>
      </c>
      <c r="V150" s="417" t="s">
        <v>1425</v>
      </c>
      <c r="W150" s="81">
        <v>1</v>
      </c>
      <c r="X150" s="417">
        <v>0.33300000000000002</v>
      </c>
      <c r="Y150" s="417" t="s">
        <v>1426</v>
      </c>
      <c r="Z150" s="417">
        <v>0</v>
      </c>
      <c r="AA150" s="82">
        <v>0</v>
      </c>
      <c r="AB150" s="82" t="s">
        <v>1427</v>
      </c>
      <c r="AC150" s="417">
        <v>0</v>
      </c>
      <c r="AD150" s="328">
        <v>0</v>
      </c>
      <c r="AE150" s="82" t="s">
        <v>1428</v>
      </c>
      <c r="AF150" s="417">
        <v>0</v>
      </c>
      <c r="AG150" s="138">
        <v>0</v>
      </c>
      <c r="AH150" s="179" t="s">
        <v>1429</v>
      </c>
      <c r="AI150" s="417">
        <v>0</v>
      </c>
      <c r="AJ150" s="417">
        <v>0</v>
      </c>
      <c r="AK150" s="417" t="s">
        <v>1430</v>
      </c>
      <c r="AL150" s="417">
        <v>0</v>
      </c>
      <c r="AM150" s="417"/>
      <c r="AN150" s="417"/>
      <c r="AO150" s="417">
        <v>0</v>
      </c>
      <c r="AP150" s="417"/>
      <c r="AQ150" s="417"/>
      <c r="AR150" s="417">
        <v>0</v>
      </c>
      <c r="AS150" s="417"/>
      <c r="AT150" s="417"/>
      <c r="AU150" s="417">
        <v>0</v>
      </c>
      <c r="AV150" s="417"/>
      <c r="AW150" s="417"/>
      <c r="AX150" s="417">
        <v>0</v>
      </c>
      <c r="AY150" s="417"/>
      <c r="AZ150" s="417"/>
      <c r="BA150" s="417">
        <v>0</v>
      </c>
      <c r="BB150" s="41"/>
      <c r="BC150" s="41"/>
      <c r="BD150" s="413">
        <f t="shared" si="11"/>
        <v>1</v>
      </c>
      <c r="BE150" s="413">
        <f t="shared" si="12"/>
        <v>0.33300000000000002</v>
      </c>
      <c r="BF150" s="68">
        <f t="shared" si="15"/>
        <v>0.33300000000000002</v>
      </c>
    </row>
    <row r="151" spans="2:61" s="2" customFormat="1" ht="52.5" hidden="1" customHeight="1">
      <c r="B151" s="44" t="s">
        <v>180</v>
      </c>
      <c r="C151" s="27" t="s">
        <v>1431</v>
      </c>
      <c r="D151" s="673"/>
      <c r="E151" s="648"/>
      <c r="F151" s="648"/>
      <c r="G151" s="417" t="s">
        <v>1432</v>
      </c>
      <c r="H151" s="417" t="s">
        <v>531</v>
      </c>
      <c r="I151" s="417">
        <v>0.1</v>
      </c>
      <c r="J151" s="417" t="s">
        <v>179</v>
      </c>
      <c r="K151" s="417" t="s">
        <v>73</v>
      </c>
      <c r="L151" s="417" t="s">
        <v>1433</v>
      </c>
      <c r="M151" s="417" t="s">
        <v>1322</v>
      </c>
      <c r="N151" s="417" t="s">
        <v>1323</v>
      </c>
      <c r="O151" s="40">
        <v>44197</v>
      </c>
      <c r="P151" s="40">
        <v>44561</v>
      </c>
      <c r="Q151" s="417">
        <f t="shared" si="14"/>
        <v>0.5</v>
      </c>
      <c r="R151" s="417">
        <v>2</v>
      </c>
      <c r="S151" s="41">
        <f t="shared" si="13"/>
        <v>1</v>
      </c>
      <c r="T151" s="417">
        <v>0</v>
      </c>
      <c r="U151" s="417">
        <v>0</v>
      </c>
      <c r="V151" s="417" t="s">
        <v>1434</v>
      </c>
      <c r="W151" s="417">
        <v>0</v>
      </c>
      <c r="X151" s="417">
        <v>0</v>
      </c>
      <c r="Y151" s="417" t="s">
        <v>1435</v>
      </c>
      <c r="Z151" s="81">
        <v>1</v>
      </c>
      <c r="AA151" s="82">
        <v>0.5</v>
      </c>
      <c r="AB151" s="82" t="s">
        <v>1436</v>
      </c>
      <c r="AC151" s="417">
        <v>0</v>
      </c>
      <c r="AD151" s="328">
        <v>0</v>
      </c>
      <c r="AE151" s="82" t="s">
        <v>1437</v>
      </c>
      <c r="AF151" s="417">
        <v>0</v>
      </c>
      <c r="AG151" s="138">
        <v>0</v>
      </c>
      <c r="AH151" s="179" t="s">
        <v>1438</v>
      </c>
      <c r="AI151" s="417">
        <v>0</v>
      </c>
      <c r="AJ151" s="417">
        <v>0</v>
      </c>
      <c r="AK151" s="417" t="s">
        <v>1439</v>
      </c>
      <c r="AL151" s="417">
        <v>0</v>
      </c>
      <c r="AM151" s="417"/>
      <c r="AN151" s="417"/>
      <c r="AO151" s="417">
        <v>0</v>
      </c>
      <c r="AP151" s="417"/>
      <c r="AQ151" s="417"/>
      <c r="AR151" s="417">
        <v>0</v>
      </c>
      <c r="AS151" s="417"/>
      <c r="AT151" s="417"/>
      <c r="AU151" s="417">
        <v>0</v>
      </c>
      <c r="AV151" s="417"/>
      <c r="AW151" s="417"/>
      <c r="AX151" s="417">
        <v>0</v>
      </c>
      <c r="AY151" s="417"/>
      <c r="AZ151" s="417"/>
      <c r="BA151" s="417">
        <v>0</v>
      </c>
      <c r="BB151" s="41"/>
      <c r="BC151" s="41"/>
      <c r="BD151" s="413">
        <f t="shared" si="11"/>
        <v>1</v>
      </c>
      <c r="BE151" s="413">
        <f t="shared" si="12"/>
        <v>0.5</v>
      </c>
      <c r="BF151" s="68">
        <f t="shared" si="15"/>
        <v>0.5</v>
      </c>
    </row>
    <row r="152" spans="2:61" s="2" customFormat="1" ht="52.5" hidden="1" customHeight="1">
      <c r="B152" s="44" t="s">
        <v>180</v>
      </c>
      <c r="C152" s="27" t="s">
        <v>1440</v>
      </c>
      <c r="D152" s="673"/>
      <c r="E152" s="648"/>
      <c r="F152" s="648"/>
      <c r="G152" s="417" t="s">
        <v>1441</v>
      </c>
      <c r="H152" s="417" t="s">
        <v>531</v>
      </c>
      <c r="I152" s="417">
        <v>0.15</v>
      </c>
      <c r="J152" s="417" t="s">
        <v>179</v>
      </c>
      <c r="K152" s="417" t="s">
        <v>73</v>
      </c>
      <c r="L152" s="417" t="s">
        <v>1442</v>
      </c>
      <c r="M152" s="417" t="s">
        <v>1322</v>
      </c>
      <c r="N152" s="417" t="s">
        <v>1323</v>
      </c>
      <c r="O152" s="40">
        <v>44197</v>
      </c>
      <c r="P152" s="40">
        <v>44561</v>
      </c>
      <c r="Q152" s="417">
        <f t="shared" si="14"/>
        <v>0</v>
      </c>
      <c r="R152" s="417">
        <v>1</v>
      </c>
      <c r="S152" s="41">
        <f t="shared" si="13"/>
        <v>1</v>
      </c>
      <c r="T152" s="417">
        <v>0</v>
      </c>
      <c r="U152" s="417">
        <v>0</v>
      </c>
      <c r="V152" s="417" t="s">
        <v>1443</v>
      </c>
      <c r="W152" s="417">
        <v>0</v>
      </c>
      <c r="X152" s="417">
        <v>0</v>
      </c>
      <c r="Y152" s="417" t="s">
        <v>1444</v>
      </c>
      <c r="Z152" s="417">
        <v>0</v>
      </c>
      <c r="AA152" s="82">
        <v>0</v>
      </c>
      <c r="AB152" s="82" t="s">
        <v>1445</v>
      </c>
      <c r="AC152" s="417">
        <v>0</v>
      </c>
      <c r="AD152" s="328">
        <v>0</v>
      </c>
      <c r="AE152" s="82" t="s">
        <v>1446</v>
      </c>
      <c r="AF152" s="417">
        <v>0</v>
      </c>
      <c r="AG152" s="138">
        <v>0</v>
      </c>
      <c r="AH152" s="179" t="s">
        <v>1447</v>
      </c>
      <c r="AI152" s="417">
        <v>0</v>
      </c>
      <c r="AJ152" s="417">
        <v>0</v>
      </c>
      <c r="AK152" s="417" t="s">
        <v>1448</v>
      </c>
      <c r="AL152" s="417">
        <v>0</v>
      </c>
      <c r="AM152" s="417"/>
      <c r="AN152" s="417"/>
      <c r="AO152" s="417">
        <v>0</v>
      </c>
      <c r="AP152" s="417"/>
      <c r="AQ152" s="417"/>
      <c r="AR152" s="417">
        <v>1</v>
      </c>
      <c r="AS152" s="417"/>
      <c r="AT152" s="417"/>
      <c r="AU152" s="417">
        <v>0</v>
      </c>
      <c r="AV152" s="417"/>
      <c r="AW152" s="417"/>
      <c r="AX152" s="417">
        <v>0</v>
      </c>
      <c r="AY152" s="417"/>
      <c r="AZ152" s="417"/>
      <c r="BA152" s="417">
        <v>0</v>
      </c>
      <c r="BB152" s="41"/>
      <c r="BC152" s="41"/>
      <c r="BD152" s="413">
        <f t="shared" si="11"/>
        <v>0</v>
      </c>
      <c r="BE152" s="413">
        <f t="shared" si="12"/>
        <v>0</v>
      </c>
      <c r="BF152" s="68" t="str">
        <f t="shared" si="15"/>
        <v>No programación, No avance</v>
      </c>
    </row>
    <row r="153" spans="2:61" s="2" customFormat="1" ht="52.5" hidden="1" customHeight="1">
      <c r="B153" s="44" t="s">
        <v>180</v>
      </c>
      <c r="C153" s="27" t="s">
        <v>1449</v>
      </c>
      <c r="D153" s="673"/>
      <c r="E153" s="648"/>
      <c r="F153" s="648"/>
      <c r="G153" s="417" t="s">
        <v>1450</v>
      </c>
      <c r="H153" s="417" t="s">
        <v>531</v>
      </c>
      <c r="I153" s="417">
        <v>0.2</v>
      </c>
      <c r="J153" s="417" t="s">
        <v>179</v>
      </c>
      <c r="K153" s="417" t="s">
        <v>73</v>
      </c>
      <c r="L153" s="417" t="s">
        <v>60</v>
      </c>
      <c r="M153" s="417" t="s">
        <v>1322</v>
      </c>
      <c r="N153" s="417" t="s">
        <v>1323</v>
      </c>
      <c r="O153" s="40">
        <v>44197</v>
      </c>
      <c r="P153" s="40">
        <v>44561</v>
      </c>
      <c r="Q153" s="417">
        <f t="shared" si="14"/>
        <v>1</v>
      </c>
      <c r="R153" s="417">
        <v>1</v>
      </c>
      <c r="S153" s="41">
        <f t="shared" si="13"/>
        <v>1</v>
      </c>
      <c r="T153" s="417">
        <v>0</v>
      </c>
      <c r="U153" s="417">
        <v>0</v>
      </c>
      <c r="V153" s="417" t="s">
        <v>1451</v>
      </c>
      <c r="W153" s="417">
        <v>0</v>
      </c>
      <c r="X153" s="417">
        <v>0</v>
      </c>
      <c r="Y153" s="417" t="s">
        <v>1452</v>
      </c>
      <c r="Z153" s="417">
        <v>0</v>
      </c>
      <c r="AA153" s="82">
        <v>1</v>
      </c>
      <c r="AB153" s="82" t="s">
        <v>1453</v>
      </c>
      <c r="AC153" s="417">
        <v>0</v>
      </c>
      <c r="AD153" s="328">
        <v>0</v>
      </c>
      <c r="AE153" s="82" t="s">
        <v>1454</v>
      </c>
      <c r="AF153" s="417">
        <v>0</v>
      </c>
      <c r="AG153" s="138">
        <v>0</v>
      </c>
      <c r="AH153" s="179" t="s">
        <v>1455</v>
      </c>
      <c r="AI153" s="417">
        <v>0</v>
      </c>
      <c r="AJ153" s="417">
        <v>0</v>
      </c>
      <c r="AK153" s="417" t="s">
        <v>1456</v>
      </c>
      <c r="AL153" s="417">
        <v>0</v>
      </c>
      <c r="AM153" s="417"/>
      <c r="AN153" s="417"/>
      <c r="AO153" s="417">
        <v>0</v>
      </c>
      <c r="AP153" s="417"/>
      <c r="AQ153" s="417"/>
      <c r="AR153" s="417">
        <v>1</v>
      </c>
      <c r="AS153" s="417"/>
      <c r="AT153" s="417"/>
      <c r="AU153" s="417">
        <v>0</v>
      </c>
      <c r="AV153" s="417"/>
      <c r="AW153" s="417"/>
      <c r="AX153" s="417">
        <v>0</v>
      </c>
      <c r="AY153" s="417"/>
      <c r="AZ153" s="417"/>
      <c r="BA153" s="417">
        <v>0</v>
      </c>
      <c r="BB153" s="41"/>
      <c r="BC153" s="41"/>
      <c r="BD153" s="413">
        <f t="shared" si="11"/>
        <v>0</v>
      </c>
      <c r="BE153" s="413">
        <f t="shared" si="12"/>
        <v>1</v>
      </c>
      <c r="BF153" s="68">
        <f t="shared" si="15"/>
        <v>1</v>
      </c>
    </row>
    <row r="154" spans="2:61" s="2" customFormat="1" ht="52.5" hidden="1" customHeight="1">
      <c r="B154" s="44" t="s">
        <v>182</v>
      </c>
      <c r="C154" s="27" t="s">
        <v>1457</v>
      </c>
      <c r="D154" s="673"/>
      <c r="E154" s="648" t="s">
        <v>1458</v>
      </c>
      <c r="F154" s="648" t="s">
        <v>1459</v>
      </c>
      <c r="G154" s="410" t="s">
        <v>1460</v>
      </c>
      <c r="H154" s="410" t="s">
        <v>531</v>
      </c>
      <c r="I154" s="410">
        <v>0.15</v>
      </c>
      <c r="J154" s="410" t="s">
        <v>179</v>
      </c>
      <c r="K154" s="410" t="s">
        <v>73</v>
      </c>
      <c r="L154" s="410" t="s">
        <v>1461</v>
      </c>
      <c r="M154" s="410" t="s">
        <v>1322</v>
      </c>
      <c r="N154" s="410" t="s">
        <v>1323</v>
      </c>
      <c r="O154" s="38">
        <v>44197</v>
      </c>
      <c r="P154" s="38">
        <v>44561</v>
      </c>
      <c r="Q154" s="410">
        <f t="shared" si="14"/>
        <v>0</v>
      </c>
      <c r="R154" s="410">
        <v>1</v>
      </c>
      <c r="S154" s="413">
        <f t="shared" si="13"/>
        <v>1</v>
      </c>
      <c r="T154" s="410">
        <v>0</v>
      </c>
      <c r="U154" s="410">
        <v>0</v>
      </c>
      <c r="V154" s="410" t="s">
        <v>1462</v>
      </c>
      <c r="W154" s="410">
        <v>0</v>
      </c>
      <c r="X154" s="410">
        <v>0</v>
      </c>
      <c r="Y154" s="410" t="s">
        <v>1463</v>
      </c>
      <c r="Z154" s="410">
        <v>0</v>
      </c>
      <c r="AA154" s="51">
        <v>0</v>
      </c>
      <c r="AB154" s="51" t="s">
        <v>1464</v>
      </c>
      <c r="AC154" s="410">
        <v>0</v>
      </c>
      <c r="AD154" s="30">
        <v>0</v>
      </c>
      <c r="AE154" s="337" t="s">
        <v>1465</v>
      </c>
      <c r="AF154" s="410">
        <v>0</v>
      </c>
      <c r="AG154" s="241">
        <v>0</v>
      </c>
      <c r="AH154" s="194" t="s">
        <v>1466</v>
      </c>
      <c r="AI154" s="410">
        <v>0</v>
      </c>
      <c r="AJ154" s="410">
        <v>0</v>
      </c>
      <c r="AK154" s="410" t="s">
        <v>1467</v>
      </c>
      <c r="AL154" s="410">
        <v>0</v>
      </c>
      <c r="AM154" s="410"/>
      <c r="AN154" s="410"/>
      <c r="AO154" s="410">
        <v>0</v>
      </c>
      <c r="AP154" s="410"/>
      <c r="AQ154" s="410"/>
      <c r="AR154" s="410">
        <v>0</v>
      </c>
      <c r="AS154" s="410"/>
      <c r="AT154" s="410"/>
      <c r="AU154" s="410">
        <v>0</v>
      </c>
      <c r="AV154" s="410"/>
      <c r="AW154" s="410"/>
      <c r="AX154" s="410">
        <v>0</v>
      </c>
      <c r="AY154" s="410"/>
      <c r="AZ154" s="410"/>
      <c r="BA154" s="137">
        <v>1</v>
      </c>
      <c r="BB154" s="413"/>
      <c r="BC154" s="413"/>
      <c r="BD154" s="413">
        <f t="shared" si="11"/>
        <v>0</v>
      </c>
      <c r="BE154" s="413">
        <f t="shared" si="12"/>
        <v>0</v>
      </c>
      <c r="BF154" s="48" t="str">
        <f t="shared" si="15"/>
        <v>No programación, No avance</v>
      </c>
    </row>
    <row r="155" spans="2:61" s="2" customFormat="1" ht="60" hidden="1" customHeight="1">
      <c r="B155" s="44" t="s">
        <v>182</v>
      </c>
      <c r="C155" s="27" t="s">
        <v>1468</v>
      </c>
      <c r="D155" s="673"/>
      <c r="E155" s="648"/>
      <c r="F155" s="648"/>
      <c r="G155" s="410" t="s">
        <v>1469</v>
      </c>
      <c r="H155" s="410" t="s">
        <v>531</v>
      </c>
      <c r="I155" s="410">
        <v>0.15</v>
      </c>
      <c r="J155" s="410" t="s">
        <v>179</v>
      </c>
      <c r="K155" s="410" t="s">
        <v>79</v>
      </c>
      <c r="L155" s="410" t="s">
        <v>493</v>
      </c>
      <c r="M155" s="410" t="s">
        <v>1322</v>
      </c>
      <c r="N155" s="410" t="s">
        <v>1323</v>
      </c>
      <c r="O155" s="38">
        <v>44197</v>
      </c>
      <c r="P155" s="38">
        <v>44561</v>
      </c>
      <c r="Q155" s="410">
        <f t="shared" si="14"/>
        <v>0</v>
      </c>
      <c r="R155" s="410">
        <v>0.5</v>
      </c>
      <c r="S155" s="413">
        <f t="shared" si="13"/>
        <v>0.5</v>
      </c>
      <c r="T155" s="410">
        <v>0</v>
      </c>
      <c r="U155" s="410">
        <v>0</v>
      </c>
      <c r="V155" s="410" t="s">
        <v>1470</v>
      </c>
      <c r="W155" s="410">
        <v>0</v>
      </c>
      <c r="X155" s="286">
        <v>0</v>
      </c>
      <c r="Y155" s="410" t="s">
        <v>1471</v>
      </c>
      <c r="Z155" s="410">
        <v>0</v>
      </c>
      <c r="AA155" s="281">
        <v>0</v>
      </c>
      <c r="AB155" s="51" t="s">
        <v>1472</v>
      </c>
      <c r="AC155" s="410">
        <v>0</v>
      </c>
      <c r="AD155" s="301">
        <v>0</v>
      </c>
      <c r="AE155" s="51" t="s">
        <v>1473</v>
      </c>
      <c r="AF155" s="410">
        <v>0</v>
      </c>
      <c r="AG155" s="306">
        <v>0</v>
      </c>
      <c r="AH155" s="154" t="s">
        <v>1474</v>
      </c>
      <c r="AI155" s="410">
        <v>0</v>
      </c>
      <c r="AJ155" s="410">
        <v>0</v>
      </c>
      <c r="AK155" s="410" t="s">
        <v>1475</v>
      </c>
      <c r="AL155" s="410">
        <v>0</v>
      </c>
      <c r="AM155" s="410"/>
      <c r="AN155" s="410"/>
      <c r="AO155" s="410">
        <v>0.1</v>
      </c>
      <c r="AP155" s="410"/>
      <c r="AQ155" s="410"/>
      <c r="AR155" s="49">
        <v>0.1</v>
      </c>
      <c r="AS155" s="410"/>
      <c r="AT155" s="410"/>
      <c r="AU155" s="49">
        <v>0.1</v>
      </c>
      <c r="AV155" s="410"/>
      <c r="AW155" s="410"/>
      <c r="AX155" s="49">
        <v>0.1</v>
      </c>
      <c r="AY155" s="410"/>
      <c r="AZ155" s="410"/>
      <c r="BA155" s="173">
        <v>0.1</v>
      </c>
      <c r="BB155" s="413"/>
      <c r="BC155" s="413"/>
      <c r="BD155" s="413">
        <f t="shared" si="11"/>
        <v>0</v>
      </c>
      <c r="BE155" s="413">
        <f t="shared" si="12"/>
        <v>0</v>
      </c>
      <c r="BF155" s="48" t="str">
        <f t="shared" si="15"/>
        <v>No programación, No avance</v>
      </c>
      <c r="BG155" s="47"/>
    </row>
    <row r="156" spans="2:61" s="2" customFormat="1" ht="52.5" hidden="1" customHeight="1">
      <c r="B156" s="44" t="s">
        <v>182</v>
      </c>
      <c r="C156" s="27" t="s">
        <v>1476</v>
      </c>
      <c r="D156" s="673"/>
      <c r="E156" s="648"/>
      <c r="F156" s="648"/>
      <c r="G156" s="417" t="s">
        <v>1477</v>
      </c>
      <c r="H156" s="417" t="s">
        <v>531</v>
      </c>
      <c r="I156" s="417">
        <v>0.15</v>
      </c>
      <c r="J156" s="417" t="s">
        <v>179</v>
      </c>
      <c r="K156" s="417" t="s">
        <v>73</v>
      </c>
      <c r="L156" s="417" t="s">
        <v>1478</v>
      </c>
      <c r="M156" s="417" t="s">
        <v>1322</v>
      </c>
      <c r="N156" s="417" t="s">
        <v>1323</v>
      </c>
      <c r="O156" s="40">
        <v>44197</v>
      </c>
      <c r="P156" s="40">
        <v>44561</v>
      </c>
      <c r="Q156" s="417">
        <f t="shared" si="14"/>
        <v>0</v>
      </c>
      <c r="R156" s="417">
        <v>1</v>
      </c>
      <c r="S156" s="41">
        <f t="shared" si="13"/>
        <v>1</v>
      </c>
      <c r="T156" s="417">
        <v>0</v>
      </c>
      <c r="U156" s="417">
        <v>0</v>
      </c>
      <c r="V156" s="417" t="s">
        <v>1479</v>
      </c>
      <c r="W156" s="417">
        <v>0</v>
      </c>
      <c r="X156" s="417">
        <v>0</v>
      </c>
      <c r="Y156" s="417" t="s">
        <v>1480</v>
      </c>
      <c r="Z156" s="417">
        <v>0</v>
      </c>
      <c r="AA156" s="82">
        <v>0</v>
      </c>
      <c r="AB156" s="82" t="s">
        <v>1481</v>
      </c>
      <c r="AC156" s="417">
        <v>0</v>
      </c>
      <c r="AD156" s="328">
        <v>0</v>
      </c>
      <c r="AE156" s="82" t="s">
        <v>1482</v>
      </c>
      <c r="AF156" s="417">
        <v>0</v>
      </c>
      <c r="AG156" s="138">
        <v>0</v>
      </c>
      <c r="AH156" s="179" t="s">
        <v>1483</v>
      </c>
      <c r="AI156" s="417">
        <v>1</v>
      </c>
      <c r="AJ156" s="417">
        <v>0</v>
      </c>
      <c r="AK156" s="417" t="s">
        <v>1484</v>
      </c>
      <c r="AL156" s="417">
        <v>0</v>
      </c>
      <c r="AM156" s="417"/>
      <c r="AN156" s="417"/>
      <c r="AO156" s="417">
        <v>0</v>
      </c>
      <c r="AP156" s="417"/>
      <c r="AQ156" s="417"/>
      <c r="AR156" s="417">
        <v>0</v>
      </c>
      <c r="AS156" s="417"/>
      <c r="AT156" s="417"/>
      <c r="AU156" s="417">
        <v>0</v>
      </c>
      <c r="AV156" s="417"/>
      <c r="AW156" s="417"/>
      <c r="AX156" s="417">
        <v>0</v>
      </c>
      <c r="AY156" s="417"/>
      <c r="AZ156" s="417"/>
      <c r="BA156" s="417">
        <v>0</v>
      </c>
      <c r="BB156" s="41"/>
      <c r="BC156" s="41"/>
      <c r="BD156" s="413">
        <f t="shared" si="11"/>
        <v>1</v>
      </c>
      <c r="BE156" s="413">
        <f t="shared" si="12"/>
        <v>0</v>
      </c>
      <c r="BF156" s="68">
        <f t="shared" si="15"/>
        <v>0</v>
      </c>
    </row>
    <row r="157" spans="2:61" s="2" customFormat="1" ht="52.5" hidden="1" customHeight="1">
      <c r="B157" s="44" t="s">
        <v>182</v>
      </c>
      <c r="C157" s="27" t="s">
        <v>1485</v>
      </c>
      <c r="D157" s="673"/>
      <c r="E157" s="648"/>
      <c r="F157" s="648"/>
      <c r="G157" s="417" t="s">
        <v>1486</v>
      </c>
      <c r="H157" s="417" t="s">
        <v>531</v>
      </c>
      <c r="I157" s="417">
        <v>0.2</v>
      </c>
      <c r="J157" s="417" t="s">
        <v>179</v>
      </c>
      <c r="K157" s="417" t="s">
        <v>73</v>
      </c>
      <c r="L157" s="417" t="s">
        <v>1487</v>
      </c>
      <c r="M157" s="417" t="s">
        <v>1322</v>
      </c>
      <c r="N157" s="417" t="s">
        <v>1323</v>
      </c>
      <c r="O157" s="40">
        <v>44197</v>
      </c>
      <c r="P157" s="40">
        <v>44561</v>
      </c>
      <c r="Q157" s="417">
        <f t="shared" si="14"/>
        <v>0.5</v>
      </c>
      <c r="R157" s="417">
        <v>1</v>
      </c>
      <c r="S157" s="41">
        <f t="shared" si="13"/>
        <v>1</v>
      </c>
      <c r="T157" s="417">
        <v>0</v>
      </c>
      <c r="U157" s="417">
        <v>0</v>
      </c>
      <c r="V157" s="417" t="s">
        <v>1488</v>
      </c>
      <c r="W157" s="417">
        <v>0</v>
      </c>
      <c r="X157" s="417">
        <v>0</v>
      </c>
      <c r="Y157" s="417" t="s">
        <v>1489</v>
      </c>
      <c r="Z157" s="417">
        <v>0</v>
      </c>
      <c r="AA157" s="82">
        <v>0</v>
      </c>
      <c r="AB157" s="82" t="s">
        <v>1490</v>
      </c>
      <c r="AC157" s="417">
        <v>0</v>
      </c>
      <c r="AD157" s="328">
        <v>0</v>
      </c>
      <c r="AE157" s="328" t="s">
        <v>1491</v>
      </c>
      <c r="AF157" s="417">
        <v>0</v>
      </c>
      <c r="AG157" s="138">
        <v>0</v>
      </c>
      <c r="AH157" s="179" t="s">
        <v>1492</v>
      </c>
      <c r="AI157" s="417">
        <v>0</v>
      </c>
      <c r="AJ157" s="417" t="s">
        <v>1493</v>
      </c>
      <c r="AK157" s="417" t="s">
        <v>1494</v>
      </c>
      <c r="AL157" s="417">
        <v>0</v>
      </c>
      <c r="AM157" s="417"/>
      <c r="AN157" s="417"/>
      <c r="AO157" s="417">
        <v>0</v>
      </c>
      <c r="AP157" s="417"/>
      <c r="AQ157" s="417"/>
      <c r="AR157" s="417">
        <v>0</v>
      </c>
      <c r="AS157" s="417"/>
      <c r="AT157" s="417"/>
      <c r="AU157" s="417">
        <v>0</v>
      </c>
      <c r="AV157" s="417"/>
      <c r="AW157" s="417"/>
      <c r="AX157" s="417">
        <v>0</v>
      </c>
      <c r="AY157" s="417"/>
      <c r="AZ157" s="417"/>
      <c r="BA157" s="417">
        <v>1</v>
      </c>
      <c r="BB157" s="41"/>
      <c r="BC157" s="41"/>
      <c r="BD157" s="413">
        <f t="shared" si="11"/>
        <v>0</v>
      </c>
      <c r="BE157" s="413">
        <f t="shared" si="12"/>
        <v>0.5</v>
      </c>
      <c r="BF157" s="68">
        <f t="shared" si="15"/>
        <v>0.5</v>
      </c>
      <c r="BG157" s="47"/>
    </row>
    <row r="158" spans="2:61" s="2" customFormat="1" ht="52.5" hidden="1" customHeight="1">
      <c r="B158" s="44" t="s">
        <v>182</v>
      </c>
      <c r="C158" s="27" t="s">
        <v>1495</v>
      </c>
      <c r="D158" s="673"/>
      <c r="E158" s="648"/>
      <c r="F158" s="648"/>
      <c r="G158" s="417" t="s">
        <v>1496</v>
      </c>
      <c r="H158" s="417" t="s">
        <v>531</v>
      </c>
      <c r="I158" s="417">
        <v>0.2</v>
      </c>
      <c r="J158" s="417" t="s">
        <v>179</v>
      </c>
      <c r="K158" s="417" t="s">
        <v>73</v>
      </c>
      <c r="L158" s="417" t="s">
        <v>1424</v>
      </c>
      <c r="M158" s="417" t="s">
        <v>1322</v>
      </c>
      <c r="N158" s="417" t="s">
        <v>1323</v>
      </c>
      <c r="O158" s="40">
        <v>44197</v>
      </c>
      <c r="P158" s="40">
        <v>44561</v>
      </c>
      <c r="Q158" s="417">
        <f t="shared" si="14"/>
        <v>0.22000000000000003</v>
      </c>
      <c r="R158" s="417">
        <v>1</v>
      </c>
      <c r="S158" s="41">
        <f t="shared" si="13"/>
        <v>1</v>
      </c>
      <c r="T158" s="417">
        <v>0</v>
      </c>
      <c r="U158" s="417">
        <v>0.01</v>
      </c>
      <c r="V158" s="417" t="s">
        <v>1497</v>
      </c>
      <c r="W158" s="417">
        <v>0</v>
      </c>
      <c r="X158" s="417">
        <v>0</v>
      </c>
      <c r="Y158" s="417" t="s">
        <v>1498</v>
      </c>
      <c r="Z158" s="417">
        <v>0</v>
      </c>
      <c r="AA158" s="82">
        <v>0</v>
      </c>
      <c r="AB158" s="82" t="s">
        <v>1499</v>
      </c>
      <c r="AC158" s="417">
        <v>0</v>
      </c>
      <c r="AD158" s="338">
        <v>0.01</v>
      </c>
      <c r="AE158" s="339" t="s">
        <v>1500</v>
      </c>
      <c r="AF158" s="417">
        <v>1</v>
      </c>
      <c r="AG158" s="138">
        <v>0.1</v>
      </c>
      <c r="AH158" s="178" t="s">
        <v>1501</v>
      </c>
      <c r="AI158" s="417">
        <v>0</v>
      </c>
      <c r="AJ158" s="417" t="s">
        <v>122</v>
      </c>
      <c r="AK158" s="417" t="s">
        <v>1502</v>
      </c>
      <c r="AL158" s="417">
        <v>0</v>
      </c>
      <c r="AM158" s="417"/>
      <c r="AN158" s="417"/>
      <c r="AO158" s="417">
        <v>0</v>
      </c>
      <c r="AP158" s="417"/>
      <c r="AQ158" s="417"/>
      <c r="AR158" s="417">
        <v>0</v>
      </c>
      <c r="AS158" s="417"/>
      <c r="AT158" s="417"/>
      <c r="AU158" s="417">
        <v>0</v>
      </c>
      <c r="AV158" s="417"/>
      <c r="AW158" s="417"/>
      <c r="AX158" s="417">
        <v>0</v>
      </c>
      <c r="AY158" s="417"/>
      <c r="AZ158" s="417"/>
      <c r="BA158" s="417">
        <v>0</v>
      </c>
      <c r="BB158" s="41"/>
      <c r="BC158" s="41"/>
      <c r="BD158" s="413">
        <f t="shared" si="11"/>
        <v>1</v>
      </c>
      <c r="BE158" s="413">
        <f t="shared" si="12"/>
        <v>0.22000000000000003</v>
      </c>
      <c r="BF158" s="68">
        <f t="shared" si="15"/>
        <v>0.22000000000000003</v>
      </c>
    </row>
    <row r="159" spans="2:61" s="2" customFormat="1" ht="63.75" hidden="1" customHeight="1">
      <c r="B159" s="44" t="s">
        <v>182</v>
      </c>
      <c r="C159" s="27" t="s">
        <v>1503</v>
      </c>
      <c r="D159" s="673"/>
      <c r="E159" s="648"/>
      <c r="F159" s="648"/>
      <c r="G159" s="417" t="s">
        <v>1504</v>
      </c>
      <c r="H159" s="417" t="s">
        <v>531</v>
      </c>
      <c r="I159" s="417">
        <v>0.15</v>
      </c>
      <c r="J159" s="417" t="s">
        <v>179</v>
      </c>
      <c r="K159" s="417" t="s">
        <v>73</v>
      </c>
      <c r="L159" s="417" t="s">
        <v>1505</v>
      </c>
      <c r="M159" s="417" t="s">
        <v>1322</v>
      </c>
      <c r="N159" s="417" t="s">
        <v>1323</v>
      </c>
      <c r="O159" s="40">
        <v>44197</v>
      </c>
      <c r="P159" s="40">
        <v>44561</v>
      </c>
      <c r="Q159" s="417">
        <f t="shared" si="14"/>
        <v>0</v>
      </c>
      <c r="R159" s="417">
        <v>1</v>
      </c>
      <c r="S159" s="41">
        <f t="shared" si="13"/>
        <v>1</v>
      </c>
      <c r="T159" s="417">
        <v>0</v>
      </c>
      <c r="U159" s="417">
        <v>0</v>
      </c>
      <c r="V159" s="417" t="s">
        <v>1506</v>
      </c>
      <c r="W159" s="417">
        <v>0</v>
      </c>
      <c r="X159" s="417">
        <v>0</v>
      </c>
      <c r="Y159" s="417" t="s">
        <v>1506</v>
      </c>
      <c r="Z159" s="417">
        <v>0</v>
      </c>
      <c r="AA159" s="82">
        <v>0</v>
      </c>
      <c r="AB159" s="82" t="s">
        <v>1507</v>
      </c>
      <c r="AC159" s="417">
        <v>0</v>
      </c>
      <c r="AD159" s="328">
        <v>0</v>
      </c>
      <c r="AE159" s="82" t="s">
        <v>1508</v>
      </c>
      <c r="AF159" s="417">
        <v>1</v>
      </c>
      <c r="AG159" s="138">
        <v>0</v>
      </c>
      <c r="AH159" s="179" t="s">
        <v>1509</v>
      </c>
      <c r="AI159" s="417">
        <v>0</v>
      </c>
      <c r="AJ159" s="417">
        <v>0</v>
      </c>
      <c r="AK159" s="417" t="s">
        <v>1510</v>
      </c>
      <c r="AL159" s="417">
        <v>0</v>
      </c>
      <c r="AM159" s="417"/>
      <c r="AN159" s="417"/>
      <c r="AO159" s="417">
        <v>0</v>
      </c>
      <c r="AP159" s="417"/>
      <c r="AQ159" s="417"/>
      <c r="AR159" s="417">
        <v>0</v>
      </c>
      <c r="AS159" s="417"/>
      <c r="AT159" s="417"/>
      <c r="AU159" s="417">
        <v>0</v>
      </c>
      <c r="AV159" s="417"/>
      <c r="AW159" s="417"/>
      <c r="AX159" s="417">
        <v>0</v>
      </c>
      <c r="AY159" s="417"/>
      <c r="AZ159" s="417"/>
      <c r="BA159" s="417">
        <v>0</v>
      </c>
      <c r="BB159" s="41"/>
      <c r="BC159" s="41"/>
      <c r="BD159" s="413">
        <f t="shared" si="11"/>
        <v>1</v>
      </c>
      <c r="BE159" s="413">
        <f t="shared" si="12"/>
        <v>0</v>
      </c>
      <c r="BF159" s="68">
        <f t="shared" si="15"/>
        <v>0</v>
      </c>
    </row>
    <row r="160" spans="2:61" s="2" customFormat="1" ht="52.5" hidden="1" customHeight="1">
      <c r="B160" s="44" t="s">
        <v>183</v>
      </c>
      <c r="C160" s="27" t="s">
        <v>1511</v>
      </c>
      <c r="D160" s="673"/>
      <c r="E160" s="648" t="s">
        <v>184</v>
      </c>
      <c r="F160" s="648" t="s">
        <v>1512</v>
      </c>
      <c r="G160" s="410" t="s">
        <v>1513</v>
      </c>
      <c r="H160" s="410" t="s">
        <v>531</v>
      </c>
      <c r="I160" s="410">
        <v>0.2</v>
      </c>
      <c r="J160" s="410" t="s">
        <v>179</v>
      </c>
      <c r="K160" s="410" t="s">
        <v>79</v>
      </c>
      <c r="L160" s="410" t="s">
        <v>60</v>
      </c>
      <c r="M160" s="410" t="s">
        <v>1322</v>
      </c>
      <c r="N160" s="410" t="s">
        <v>1323</v>
      </c>
      <c r="O160" s="38">
        <v>44197</v>
      </c>
      <c r="P160" s="38">
        <v>44561</v>
      </c>
      <c r="Q160" s="410">
        <f t="shared" si="14"/>
        <v>0.4</v>
      </c>
      <c r="R160" s="410">
        <v>1</v>
      </c>
      <c r="S160" s="413">
        <f t="shared" si="13"/>
        <v>0.89999999999999991</v>
      </c>
      <c r="T160" s="410">
        <v>0</v>
      </c>
      <c r="U160" s="410">
        <v>0</v>
      </c>
      <c r="V160" s="410" t="s">
        <v>1514</v>
      </c>
      <c r="W160" s="410">
        <v>0.1</v>
      </c>
      <c r="X160" s="286">
        <v>0.1</v>
      </c>
      <c r="Y160" s="410" t="s">
        <v>1515</v>
      </c>
      <c r="Z160" s="49">
        <v>0.1</v>
      </c>
      <c r="AA160" s="111">
        <v>0.1</v>
      </c>
      <c r="AB160" s="51" t="s">
        <v>1516</v>
      </c>
      <c r="AC160" s="49">
        <v>0.1</v>
      </c>
      <c r="AD160" s="301">
        <v>0.1</v>
      </c>
      <c r="AE160" s="337" t="s">
        <v>1517</v>
      </c>
      <c r="AF160" s="49">
        <v>0</v>
      </c>
      <c r="AG160" s="306">
        <v>0.1</v>
      </c>
      <c r="AH160" s="194" t="s">
        <v>1518</v>
      </c>
      <c r="AI160" s="49">
        <v>0.1</v>
      </c>
      <c r="AJ160" s="410">
        <v>0</v>
      </c>
      <c r="AK160" s="410" t="s">
        <v>1519</v>
      </c>
      <c r="AL160" s="49">
        <v>0.1</v>
      </c>
      <c r="AM160" s="410"/>
      <c r="AN160" s="410"/>
      <c r="AO160" s="49">
        <v>0.1</v>
      </c>
      <c r="AP160" s="410"/>
      <c r="AQ160" s="410"/>
      <c r="AR160" s="49">
        <v>0.1</v>
      </c>
      <c r="AS160" s="410"/>
      <c r="AT160" s="410"/>
      <c r="AU160" s="49">
        <v>0.1</v>
      </c>
      <c r="AV160" s="410"/>
      <c r="AW160" s="410"/>
      <c r="AX160" s="49">
        <v>0.1</v>
      </c>
      <c r="AY160" s="410"/>
      <c r="AZ160" s="410"/>
      <c r="BA160" s="173">
        <v>0</v>
      </c>
      <c r="BB160" s="413"/>
      <c r="BC160" s="413"/>
      <c r="BD160" s="413">
        <f t="shared" si="11"/>
        <v>0.4</v>
      </c>
      <c r="BE160" s="413">
        <f t="shared" si="12"/>
        <v>0.4</v>
      </c>
      <c r="BF160" s="48">
        <f t="shared" si="15"/>
        <v>1</v>
      </c>
      <c r="BG160" s="407">
        <v>0.21809999999999999</v>
      </c>
      <c r="BH160" s="407">
        <v>0.2636</v>
      </c>
      <c r="BI160" s="2">
        <f>+BH160*BH161</f>
        <v>5.2720000000000002</v>
      </c>
    </row>
    <row r="161" spans="2:61" s="2" customFormat="1" ht="52.5" hidden="1" customHeight="1">
      <c r="B161" s="44" t="s">
        <v>183</v>
      </c>
      <c r="C161" s="27" t="s">
        <v>1520</v>
      </c>
      <c r="D161" s="673"/>
      <c r="E161" s="648"/>
      <c r="F161" s="648"/>
      <c r="G161" s="410" t="s">
        <v>1521</v>
      </c>
      <c r="H161" s="410" t="s">
        <v>531</v>
      </c>
      <c r="I161" s="410">
        <v>0.05</v>
      </c>
      <c r="J161" s="410" t="s">
        <v>179</v>
      </c>
      <c r="K161" s="410" t="s">
        <v>73</v>
      </c>
      <c r="L161" s="410" t="s">
        <v>1522</v>
      </c>
      <c r="M161" s="410" t="s">
        <v>1322</v>
      </c>
      <c r="N161" s="410" t="s">
        <v>1323</v>
      </c>
      <c r="O161" s="38">
        <v>44197</v>
      </c>
      <c r="P161" s="38">
        <v>44561</v>
      </c>
      <c r="Q161" s="410">
        <f t="shared" si="14"/>
        <v>0</v>
      </c>
      <c r="R161" s="410">
        <v>1</v>
      </c>
      <c r="S161" s="413">
        <f t="shared" si="13"/>
        <v>1</v>
      </c>
      <c r="T161" s="410">
        <v>0</v>
      </c>
      <c r="U161" s="410">
        <v>0</v>
      </c>
      <c r="V161" s="410"/>
      <c r="W161" s="410">
        <v>0</v>
      </c>
      <c r="X161" s="410">
        <v>0</v>
      </c>
      <c r="Y161" s="410" t="s">
        <v>1523</v>
      </c>
      <c r="Z161" s="410">
        <v>0</v>
      </c>
      <c r="AA161" s="51">
        <v>0</v>
      </c>
      <c r="AB161" s="340" t="s">
        <v>1524</v>
      </c>
      <c r="AC161" s="410">
        <v>1</v>
      </c>
      <c r="AD161" s="30">
        <v>0</v>
      </c>
      <c r="AE161" s="337" t="s">
        <v>1525</v>
      </c>
      <c r="AF161" s="410">
        <v>0</v>
      </c>
      <c r="AG161" s="241">
        <v>0</v>
      </c>
      <c r="AH161" s="194" t="s">
        <v>1526</v>
      </c>
      <c r="AI161" s="410">
        <v>0</v>
      </c>
      <c r="AJ161" s="410">
        <v>0</v>
      </c>
      <c r="AK161" s="410" t="s">
        <v>1527</v>
      </c>
      <c r="AL161" s="410">
        <v>0</v>
      </c>
      <c r="AM161" s="410"/>
      <c r="AN161" s="410"/>
      <c r="AO161" s="410">
        <v>0</v>
      </c>
      <c r="AP161" s="410"/>
      <c r="AQ161" s="410"/>
      <c r="AR161" s="410">
        <v>0</v>
      </c>
      <c r="AS161" s="410"/>
      <c r="AT161" s="410"/>
      <c r="AU161" s="410">
        <v>0</v>
      </c>
      <c r="AV161" s="410"/>
      <c r="AW161" s="410"/>
      <c r="AX161" s="410">
        <v>0</v>
      </c>
      <c r="AY161" s="410"/>
      <c r="AZ161" s="410"/>
      <c r="BA161" s="137">
        <v>0</v>
      </c>
      <c r="BB161" s="413"/>
      <c r="BC161" s="413"/>
      <c r="BD161" s="413">
        <f t="shared" si="11"/>
        <v>1</v>
      </c>
      <c r="BE161" s="413">
        <f t="shared" si="12"/>
        <v>0</v>
      </c>
      <c r="BF161" s="48">
        <f t="shared" si="15"/>
        <v>0</v>
      </c>
      <c r="BG161" s="47"/>
      <c r="BH161" s="2">
        <v>20</v>
      </c>
      <c r="BI161" s="2">
        <f>+BH161*BG160</f>
        <v>4.3620000000000001</v>
      </c>
    </row>
    <row r="162" spans="2:61" s="2" customFormat="1" ht="52.5" hidden="1" customHeight="1">
      <c r="B162" s="44" t="s">
        <v>183</v>
      </c>
      <c r="C162" s="27" t="s">
        <v>1528</v>
      </c>
      <c r="D162" s="673"/>
      <c r="E162" s="648"/>
      <c r="F162" s="648"/>
      <c r="G162" s="417" t="s">
        <v>1529</v>
      </c>
      <c r="H162" s="417" t="s">
        <v>531</v>
      </c>
      <c r="I162" s="417">
        <v>0.05</v>
      </c>
      <c r="J162" s="417" t="s">
        <v>179</v>
      </c>
      <c r="K162" s="417" t="s">
        <v>73</v>
      </c>
      <c r="L162" s="417" t="s">
        <v>47</v>
      </c>
      <c r="M162" s="417" t="s">
        <v>1322</v>
      </c>
      <c r="N162" s="417" t="s">
        <v>1323</v>
      </c>
      <c r="O162" s="40">
        <v>44197</v>
      </c>
      <c r="P162" s="40">
        <v>44561</v>
      </c>
      <c r="Q162" s="417">
        <f t="shared" si="14"/>
        <v>0</v>
      </c>
      <c r="R162" s="417">
        <v>2</v>
      </c>
      <c r="S162" s="41">
        <f t="shared" si="13"/>
        <v>1.5</v>
      </c>
      <c r="T162" s="417">
        <v>0</v>
      </c>
      <c r="U162" s="417">
        <v>0</v>
      </c>
      <c r="V162" s="417" t="s">
        <v>1530</v>
      </c>
      <c r="W162" s="417">
        <v>0.5</v>
      </c>
      <c r="X162" s="417">
        <v>0</v>
      </c>
      <c r="Y162" s="417" t="s">
        <v>1531</v>
      </c>
      <c r="Z162" s="417">
        <v>0</v>
      </c>
      <c r="AA162" s="82">
        <v>0</v>
      </c>
      <c r="AB162" s="82" t="s">
        <v>1532</v>
      </c>
      <c r="AC162" s="417">
        <v>0</v>
      </c>
      <c r="AD162" s="328">
        <v>0</v>
      </c>
      <c r="AE162" s="339" t="s">
        <v>1533</v>
      </c>
      <c r="AF162" s="417">
        <v>0</v>
      </c>
      <c r="AG162" s="138">
        <v>0</v>
      </c>
      <c r="AH162" s="195" t="s">
        <v>1534</v>
      </c>
      <c r="AI162" s="417">
        <v>0</v>
      </c>
      <c r="AJ162" s="417">
        <v>0</v>
      </c>
      <c r="AK162" s="417" t="s">
        <v>1535</v>
      </c>
      <c r="AL162" s="417">
        <v>0</v>
      </c>
      <c r="AM162" s="417"/>
      <c r="AN162" s="417"/>
      <c r="AO162" s="417">
        <v>1</v>
      </c>
      <c r="AP162" s="417"/>
      <c r="AQ162" s="417"/>
      <c r="AR162" s="417">
        <v>0</v>
      </c>
      <c r="AS162" s="417"/>
      <c r="AT162" s="417"/>
      <c r="AU162" s="417">
        <v>0</v>
      </c>
      <c r="AV162" s="417"/>
      <c r="AW162" s="417"/>
      <c r="AX162" s="417">
        <v>0</v>
      </c>
      <c r="AY162" s="417"/>
      <c r="AZ162" s="417"/>
      <c r="BA162" s="417">
        <v>0</v>
      </c>
      <c r="BB162" s="41"/>
      <c r="BC162" s="41"/>
      <c r="BD162" s="413">
        <f t="shared" si="11"/>
        <v>0.5</v>
      </c>
      <c r="BE162" s="413">
        <f t="shared" si="12"/>
        <v>0</v>
      </c>
      <c r="BF162" s="68">
        <f t="shared" si="15"/>
        <v>0</v>
      </c>
    </row>
    <row r="163" spans="2:61" s="2" customFormat="1" ht="52.5" hidden="1" customHeight="1">
      <c r="B163" s="44" t="s">
        <v>183</v>
      </c>
      <c r="C163" s="27" t="s">
        <v>1536</v>
      </c>
      <c r="D163" s="673"/>
      <c r="E163" s="648"/>
      <c r="F163" s="648"/>
      <c r="G163" s="410" t="s">
        <v>1537</v>
      </c>
      <c r="H163" s="410" t="s">
        <v>531</v>
      </c>
      <c r="I163" s="410">
        <v>0.05</v>
      </c>
      <c r="J163" s="410" t="s">
        <v>179</v>
      </c>
      <c r="K163" s="410" t="s">
        <v>73</v>
      </c>
      <c r="L163" s="410" t="s">
        <v>1538</v>
      </c>
      <c r="M163" s="410" t="s">
        <v>1322</v>
      </c>
      <c r="N163" s="410" t="s">
        <v>1323</v>
      </c>
      <c r="O163" s="38">
        <v>44197</v>
      </c>
      <c r="P163" s="38">
        <v>44561</v>
      </c>
      <c r="Q163" s="410">
        <f t="shared" si="14"/>
        <v>0</v>
      </c>
      <c r="R163" s="410">
        <v>15</v>
      </c>
      <c r="S163" s="413">
        <f t="shared" si="13"/>
        <v>15</v>
      </c>
      <c r="T163" s="410">
        <v>0</v>
      </c>
      <c r="U163" s="410">
        <v>0</v>
      </c>
      <c r="V163" s="410" t="s">
        <v>1539</v>
      </c>
      <c r="W163" s="410">
        <v>0</v>
      </c>
      <c r="X163" s="410">
        <v>0</v>
      </c>
      <c r="Y163" s="410" t="s">
        <v>1540</v>
      </c>
      <c r="Z163" s="410">
        <v>0</v>
      </c>
      <c r="AA163" s="51">
        <v>0</v>
      </c>
      <c r="AB163" s="51" t="s">
        <v>1541</v>
      </c>
      <c r="AC163" s="410">
        <v>0</v>
      </c>
      <c r="AD163" s="30">
        <v>0</v>
      </c>
      <c r="AE163" s="337" t="s">
        <v>1542</v>
      </c>
      <c r="AF163" s="410">
        <v>0</v>
      </c>
      <c r="AG163" s="241">
        <v>0</v>
      </c>
      <c r="AH163" s="194" t="s">
        <v>1543</v>
      </c>
      <c r="AI163" s="410">
        <v>0</v>
      </c>
      <c r="AJ163" s="410">
        <v>0</v>
      </c>
      <c r="AK163" s="410" t="s">
        <v>1544</v>
      </c>
      <c r="AL163" s="410">
        <v>0</v>
      </c>
      <c r="AM163" s="410"/>
      <c r="AN163" s="410"/>
      <c r="AO163" s="410">
        <v>0</v>
      </c>
      <c r="AP163" s="410"/>
      <c r="AQ163" s="410"/>
      <c r="AR163" s="410">
        <v>0</v>
      </c>
      <c r="AS163" s="410"/>
      <c r="AT163" s="410"/>
      <c r="AU163" s="410">
        <v>0</v>
      </c>
      <c r="AV163" s="410"/>
      <c r="AW163" s="410"/>
      <c r="AX163" s="410">
        <v>0</v>
      </c>
      <c r="AY163" s="410"/>
      <c r="AZ163" s="410"/>
      <c r="BA163" s="137">
        <v>15</v>
      </c>
      <c r="BB163" s="413"/>
      <c r="BC163" s="413"/>
      <c r="BD163" s="413">
        <f t="shared" si="11"/>
        <v>0</v>
      </c>
      <c r="BE163" s="413">
        <f t="shared" si="12"/>
        <v>0</v>
      </c>
      <c r="BF163" s="48" t="str">
        <f t="shared" si="15"/>
        <v>No programación, No avance</v>
      </c>
    </row>
    <row r="164" spans="2:61" s="2" customFormat="1" ht="52.5" hidden="1" customHeight="1">
      <c r="B164" s="44" t="s">
        <v>183</v>
      </c>
      <c r="C164" s="27" t="s">
        <v>1545</v>
      </c>
      <c r="D164" s="673"/>
      <c r="E164" s="648"/>
      <c r="F164" s="648"/>
      <c r="G164" s="417" t="s">
        <v>1546</v>
      </c>
      <c r="H164" s="417" t="s">
        <v>531</v>
      </c>
      <c r="I164" s="417">
        <v>0.15</v>
      </c>
      <c r="J164" s="417" t="s">
        <v>179</v>
      </c>
      <c r="K164" s="417" t="s">
        <v>73</v>
      </c>
      <c r="L164" s="417" t="s">
        <v>1418</v>
      </c>
      <c r="M164" s="417" t="s">
        <v>1322</v>
      </c>
      <c r="N164" s="417" t="s">
        <v>1323</v>
      </c>
      <c r="O164" s="40">
        <v>44197</v>
      </c>
      <c r="P164" s="40">
        <v>44561</v>
      </c>
      <c r="Q164" s="417">
        <f t="shared" si="14"/>
        <v>0</v>
      </c>
      <c r="R164" s="417">
        <v>1</v>
      </c>
      <c r="S164" s="41">
        <f t="shared" si="13"/>
        <v>1</v>
      </c>
      <c r="T164" s="417">
        <v>0</v>
      </c>
      <c r="U164" s="417">
        <v>0</v>
      </c>
      <c r="V164" s="417" t="s">
        <v>1547</v>
      </c>
      <c r="W164" s="417">
        <v>0</v>
      </c>
      <c r="X164" s="417">
        <v>0</v>
      </c>
      <c r="Y164" s="417" t="s">
        <v>1548</v>
      </c>
      <c r="Z164" s="417">
        <v>0</v>
      </c>
      <c r="AA164" s="82">
        <v>0</v>
      </c>
      <c r="AB164" s="82" t="s">
        <v>1549</v>
      </c>
      <c r="AC164" s="417">
        <v>0</v>
      </c>
      <c r="AD164" s="328">
        <v>0</v>
      </c>
      <c r="AE164" s="328" t="s">
        <v>1550</v>
      </c>
      <c r="AF164" s="417">
        <v>0</v>
      </c>
      <c r="AG164" s="138">
        <v>0</v>
      </c>
      <c r="AH164" s="179" t="s">
        <v>1551</v>
      </c>
      <c r="AI164" s="417">
        <v>0</v>
      </c>
      <c r="AJ164" s="417">
        <v>0</v>
      </c>
      <c r="AK164" s="417" t="s">
        <v>1552</v>
      </c>
      <c r="AL164" s="417">
        <v>1</v>
      </c>
      <c r="AM164" s="417"/>
      <c r="AN164" s="417"/>
      <c r="AO164" s="417">
        <v>0</v>
      </c>
      <c r="AP164" s="417"/>
      <c r="AQ164" s="417"/>
      <c r="AR164" s="417">
        <v>0</v>
      </c>
      <c r="AS164" s="417"/>
      <c r="AT164" s="417"/>
      <c r="AU164" s="417">
        <v>0</v>
      </c>
      <c r="AV164" s="417"/>
      <c r="AW164" s="417"/>
      <c r="AX164" s="417">
        <v>0</v>
      </c>
      <c r="AY164" s="417"/>
      <c r="AZ164" s="417"/>
      <c r="BA164" s="417">
        <v>0</v>
      </c>
      <c r="BB164" s="41"/>
      <c r="BC164" s="41"/>
      <c r="BD164" s="413">
        <f t="shared" si="11"/>
        <v>0</v>
      </c>
      <c r="BE164" s="413">
        <f t="shared" si="12"/>
        <v>0</v>
      </c>
      <c r="BF164" s="68" t="str">
        <f t="shared" si="15"/>
        <v>No programación, No avance</v>
      </c>
    </row>
    <row r="165" spans="2:61" s="2" customFormat="1" ht="52.5" hidden="1" customHeight="1">
      <c r="B165" s="44" t="s">
        <v>183</v>
      </c>
      <c r="C165" s="27" t="s">
        <v>1553</v>
      </c>
      <c r="D165" s="673"/>
      <c r="E165" s="648"/>
      <c r="F165" s="648"/>
      <c r="G165" s="410" t="s">
        <v>1554</v>
      </c>
      <c r="H165" s="410" t="s">
        <v>531</v>
      </c>
      <c r="I165" s="410">
        <v>0.05</v>
      </c>
      <c r="J165" s="410" t="s">
        <v>179</v>
      </c>
      <c r="K165" s="410" t="s">
        <v>73</v>
      </c>
      <c r="L165" s="410" t="s">
        <v>1555</v>
      </c>
      <c r="M165" s="410" t="s">
        <v>1322</v>
      </c>
      <c r="N165" s="410" t="s">
        <v>1323</v>
      </c>
      <c r="O165" s="38">
        <v>44197</v>
      </c>
      <c r="P165" s="38">
        <v>44561</v>
      </c>
      <c r="Q165" s="410">
        <f t="shared" si="14"/>
        <v>0</v>
      </c>
      <c r="R165" s="410">
        <v>1</v>
      </c>
      <c r="S165" s="413">
        <f t="shared" si="13"/>
        <v>1</v>
      </c>
      <c r="T165" s="410">
        <v>0</v>
      </c>
      <c r="U165" s="410">
        <v>0</v>
      </c>
      <c r="V165" s="410" t="s">
        <v>1556</v>
      </c>
      <c r="W165" s="410">
        <v>0</v>
      </c>
      <c r="X165" s="410">
        <v>0</v>
      </c>
      <c r="Y165" s="410" t="s">
        <v>1557</v>
      </c>
      <c r="Z165" s="410">
        <v>0</v>
      </c>
      <c r="AA165" s="51">
        <v>0</v>
      </c>
      <c r="AB165" s="51" t="s">
        <v>1558</v>
      </c>
      <c r="AC165" s="410">
        <v>0</v>
      </c>
      <c r="AD165" s="30">
        <v>0</v>
      </c>
      <c r="AE165" s="30" t="s">
        <v>1559</v>
      </c>
      <c r="AF165" s="410">
        <v>0</v>
      </c>
      <c r="AG165" s="241">
        <v>0</v>
      </c>
      <c r="AH165" s="154" t="s">
        <v>1560</v>
      </c>
      <c r="AI165" s="410">
        <v>0</v>
      </c>
      <c r="AJ165" s="410">
        <v>0</v>
      </c>
      <c r="AK165" s="410" t="s">
        <v>1561</v>
      </c>
      <c r="AL165" s="410">
        <v>0</v>
      </c>
      <c r="AM165" s="410"/>
      <c r="AN165" s="410"/>
      <c r="AO165" s="410">
        <v>0</v>
      </c>
      <c r="AP165" s="410"/>
      <c r="AQ165" s="410"/>
      <c r="AR165" s="410">
        <v>0</v>
      </c>
      <c r="AS165" s="410"/>
      <c r="AT165" s="410"/>
      <c r="AU165" s="410">
        <v>0</v>
      </c>
      <c r="AV165" s="410"/>
      <c r="AW165" s="410"/>
      <c r="AX165" s="410">
        <v>0</v>
      </c>
      <c r="AY165" s="410"/>
      <c r="AZ165" s="410"/>
      <c r="BA165" s="137">
        <v>1</v>
      </c>
      <c r="BB165" s="413"/>
      <c r="BC165" s="413"/>
      <c r="BD165" s="413">
        <f t="shared" si="11"/>
        <v>0</v>
      </c>
      <c r="BE165" s="413">
        <f t="shared" si="12"/>
        <v>0</v>
      </c>
      <c r="BF165" s="48" t="str">
        <f t="shared" si="15"/>
        <v>No programación, No avance</v>
      </c>
    </row>
    <row r="166" spans="2:61" s="2" customFormat="1" ht="52.5" customHeight="1">
      <c r="B166" s="44" t="s">
        <v>183</v>
      </c>
      <c r="C166" s="27" t="s">
        <v>1562</v>
      </c>
      <c r="D166" s="673"/>
      <c r="E166" s="648"/>
      <c r="F166" s="648"/>
      <c r="G166" s="410" t="s">
        <v>1563</v>
      </c>
      <c r="H166" s="410" t="s">
        <v>531</v>
      </c>
      <c r="I166" s="410">
        <v>0.1</v>
      </c>
      <c r="J166" s="410" t="s">
        <v>179</v>
      </c>
      <c r="K166" s="410" t="s">
        <v>73</v>
      </c>
      <c r="L166" s="410" t="s">
        <v>66</v>
      </c>
      <c r="M166" s="410" t="s">
        <v>1322</v>
      </c>
      <c r="N166" s="410" t="s">
        <v>1323</v>
      </c>
      <c r="O166" s="38">
        <v>44197</v>
      </c>
      <c r="P166" s="38">
        <v>44561</v>
      </c>
      <c r="Q166" s="410">
        <f t="shared" si="14"/>
        <v>2.5</v>
      </c>
      <c r="R166" s="410">
        <v>2</v>
      </c>
      <c r="S166" s="413">
        <f t="shared" si="13"/>
        <v>1.5</v>
      </c>
      <c r="T166" s="410">
        <v>0</v>
      </c>
      <c r="U166" s="410">
        <v>0.5</v>
      </c>
      <c r="V166" s="410" t="s">
        <v>1564</v>
      </c>
      <c r="W166" s="410">
        <v>0</v>
      </c>
      <c r="X166" s="410">
        <v>0.5</v>
      </c>
      <c r="Y166" s="410" t="s">
        <v>1565</v>
      </c>
      <c r="Z166" s="410">
        <f>1/R166</f>
        <v>0.5</v>
      </c>
      <c r="AA166" s="51">
        <v>0.5</v>
      </c>
      <c r="AB166" s="51" t="s">
        <v>1565</v>
      </c>
      <c r="AC166" s="410">
        <v>0</v>
      </c>
      <c r="AD166" s="341">
        <v>1</v>
      </c>
      <c r="AE166" s="51" t="s">
        <v>1566</v>
      </c>
      <c r="AF166" s="410">
        <v>0</v>
      </c>
      <c r="AG166" s="241">
        <v>0</v>
      </c>
      <c r="AH166" s="154" t="s">
        <v>1567</v>
      </c>
      <c r="AI166" s="410">
        <v>0</v>
      </c>
      <c r="AJ166" s="410">
        <v>0</v>
      </c>
      <c r="AK166" s="410" t="s">
        <v>1568</v>
      </c>
      <c r="AL166" s="410">
        <v>0</v>
      </c>
      <c r="AM166" s="410"/>
      <c r="AN166" s="410"/>
      <c r="AO166" s="410">
        <v>0</v>
      </c>
      <c r="AP166" s="410"/>
      <c r="AQ166" s="410"/>
      <c r="AR166" s="410">
        <v>0</v>
      </c>
      <c r="AS166" s="410"/>
      <c r="AT166" s="410"/>
      <c r="AU166" s="410">
        <v>0</v>
      </c>
      <c r="AV166" s="410"/>
      <c r="AW166" s="410"/>
      <c r="AX166" s="410">
        <v>0</v>
      </c>
      <c r="AY166" s="410"/>
      <c r="AZ166" s="410"/>
      <c r="BA166" s="137">
        <v>1</v>
      </c>
      <c r="BB166" s="413"/>
      <c r="BC166" s="413"/>
      <c r="BD166" s="413">
        <f t="shared" si="11"/>
        <v>0.5</v>
      </c>
      <c r="BE166" s="413">
        <f t="shared" si="12"/>
        <v>2.5</v>
      </c>
      <c r="BF166" s="48">
        <f t="shared" si="15"/>
        <v>5</v>
      </c>
    </row>
    <row r="167" spans="2:61" s="2" customFormat="1" ht="52.5" hidden="1" customHeight="1">
      <c r="B167" s="44" t="s">
        <v>183</v>
      </c>
      <c r="C167" s="27" t="s">
        <v>1569</v>
      </c>
      <c r="D167" s="673"/>
      <c r="E167" s="648"/>
      <c r="F167" s="648"/>
      <c r="G167" s="417" t="s">
        <v>1570</v>
      </c>
      <c r="H167" s="417" t="s">
        <v>531</v>
      </c>
      <c r="I167" s="417">
        <v>0.15</v>
      </c>
      <c r="J167" s="417" t="s">
        <v>179</v>
      </c>
      <c r="K167" s="417" t="s">
        <v>73</v>
      </c>
      <c r="L167" s="417" t="s">
        <v>1571</v>
      </c>
      <c r="M167" s="417" t="s">
        <v>1322</v>
      </c>
      <c r="N167" s="417" t="s">
        <v>1323</v>
      </c>
      <c r="O167" s="40">
        <v>44197</v>
      </c>
      <c r="P167" s="40">
        <v>44561</v>
      </c>
      <c r="Q167" s="417">
        <f t="shared" si="14"/>
        <v>0</v>
      </c>
      <c r="R167" s="417">
        <v>1</v>
      </c>
      <c r="S167" s="41">
        <f t="shared" si="13"/>
        <v>1</v>
      </c>
      <c r="T167" s="417">
        <v>0</v>
      </c>
      <c r="U167" s="417">
        <v>0</v>
      </c>
      <c r="V167" s="417" t="s">
        <v>1572</v>
      </c>
      <c r="W167" s="417">
        <v>0</v>
      </c>
      <c r="X167" s="417">
        <v>0</v>
      </c>
      <c r="Y167" s="417" t="s">
        <v>1573</v>
      </c>
      <c r="Z167" s="417">
        <v>0</v>
      </c>
      <c r="AA167" s="82">
        <v>0</v>
      </c>
      <c r="AB167" s="342" t="s">
        <v>1574</v>
      </c>
      <c r="AC167" s="417">
        <v>0</v>
      </c>
      <c r="AD167" s="328">
        <v>0</v>
      </c>
      <c r="AE167" s="82" t="s">
        <v>1575</v>
      </c>
      <c r="AF167" s="417">
        <v>0</v>
      </c>
      <c r="AG167" s="138">
        <v>0</v>
      </c>
      <c r="AH167" s="179" t="s">
        <v>1576</v>
      </c>
      <c r="AI167" s="417">
        <v>0</v>
      </c>
      <c r="AJ167" s="417">
        <v>0</v>
      </c>
      <c r="AK167" s="417" t="s">
        <v>1577</v>
      </c>
      <c r="AL167" s="417">
        <v>0</v>
      </c>
      <c r="AM167" s="417"/>
      <c r="AN167" s="417"/>
      <c r="AO167" s="417">
        <v>0</v>
      </c>
      <c r="AP167" s="417"/>
      <c r="AQ167" s="417"/>
      <c r="AR167" s="417">
        <v>0</v>
      </c>
      <c r="AS167" s="417"/>
      <c r="AT167" s="417"/>
      <c r="AU167" s="417">
        <v>0</v>
      </c>
      <c r="AV167" s="417"/>
      <c r="AW167" s="417"/>
      <c r="AX167" s="417">
        <v>0</v>
      </c>
      <c r="AY167" s="417"/>
      <c r="AZ167" s="417"/>
      <c r="BA167" s="417">
        <v>1</v>
      </c>
      <c r="BB167" s="41"/>
      <c r="BC167" s="41"/>
      <c r="BD167" s="413">
        <f t="shared" si="11"/>
        <v>0</v>
      </c>
      <c r="BE167" s="413">
        <f t="shared" si="12"/>
        <v>0</v>
      </c>
      <c r="BF167" s="68" t="str">
        <f t="shared" si="15"/>
        <v>No programación, No avance</v>
      </c>
      <c r="BG167" s="47"/>
    </row>
    <row r="168" spans="2:61" s="2" customFormat="1" ht="52.5" hidden="1" customHeight="1">
      <c r="B168" s="44" t="s">
        <v>183</v>
      </c>
      <c r="C168" s="27" t="s">
        <v>1578</v>
      </c>
      <c r="D168" s="673"/>
      <c r="E168" s="648"/>
      <c r="F168" s="648"/>
      <c r="G168" s="417" t="s">
        <v>1579</v>
      </c>
      <c r="H168" s="417" t="s">
        <v>531</v>
      </c>
      <c r="I168" s="417">
        <v>0.05</v>
      </c>
      <c r="J168" s="417" t="s">
        <v>179</v>
      </c>
      <c r="K168" s="417" t="s">
        <v>73</v>
      </c>
      <c r="L168" s="417" t="s">
        <v>1580</v>
      </c>
      <c r="M168" s="417" t="s">
        <v>1322</v>
      </c>
      <c r="N168" s="417" t="s">
        <v>1323</v>
      </c>
      <c r="O168" s="40">
        <v>44197</v>
      </c>
      <c r="P168" s="40">
        <v>44561</v>
      </c>
      <c r="Q168" s="417">
        <f t="shared" si="14"/>
        <v>0</v>
      </c>
      <c r="R168" s="417">
        <v>1</v>
      </c>
      <c r="S168" s="41">
        <f t="shared" si="13"/>
        <v>1</v>
      </c>
      <c r="T168" s="417">
        <v>0</v>
      </c>
      <c r="U168" s="417">
        <v>0</v>
      </c>
      <c r="V168" s="417" t="s">
        <v>1581</v>
      </c>
      <c r="W168" s="417">
        <v>0</v>
      </c>
      <c r="X168" s="417">
        <v>0</v>
      </c>
      <c r="Y168" s="417" t="s">
        <v>1582</v>
      </c>
      <c r="Z168" s="417">
        <v>0</v>
      </c>
      <c r="AA168" s="82">
        <v>0</v>
      </c>
      <c r="AB168" s="342" t="s">
        <v>1583</v>
      </c>
      <c r="AC168" s="417">
        <v>0</v>
      </c>
      <c r="AD168" s="328">
        <v>0</v>
      </c>
      <c r="AE168" s="82" t="s">
        <v>1584</v>
      </c>
      <c r="AF168" s="417">
        <v>0</v>
      </c>
      <c r="AG168" s="138">
        <v>0</v>
      </c>
      <c r="AH168" s="179" t="s">
        <v>1585</v>
      </c>
      <c r="AI168" s="417">
        <v>0</v>
      </c>
      <c r="AJ168" s="417">
        <v>0</v>
      </c>
      <c r="AK168" s="417" t="s">
        <v>1577</v>
      </c>
      <c r="AL168" s="417">
        <v>0</v>
      </c>
      <c r="AM168" s="417"/>
      <c r="AN168" s="417"/>
      <c r="AO168" s="417">
        <v>0</v>
      </c>
      <c r="AP168" s="417"/>
      <c r="AQ168" s="417"/>
      <c r="AR168" s="417">
        <v>0</v>
      </c>
      <c r="AS168" s="417"/>
      <c r="AT168" s="417"/>
      <c r="AU168" s="417">
        <v>0</v>
      </c>
      <c r="AV168" s="417"/>
      <c r="AW168" s="417"/>
      <c r="AX168" s="417">
        <v>0</v>
      </c>
      <c r="AY168" s="417"/>
      <c r="AZ168" s="417"/>
      <c r="BA168" s="417">
        <v>1</v>
      </c>
      <c r="BB168" s="41"/>
      <c r="BC168" s="41"/>
      <c r="BD168" s="413">
        <f t="shared" si="11"/>
        <v>0</v>
      </c>
      <c r="BE168" s="413">
        <f t="shared" si="12"/>
        <v>0</v>
      </c>
      <c r="BF168" s="68" t="str">
        <f t="shared" si="15"/>
        <v>No programación, No avance</v>
      </c>
      <c r="BG168" s="47"/>
    </row>
    <row r="169" spans="2:61" s="2" customFormat="1" ht="52.5" hidden="1" customHeight="1">
      <c r="B169" s="44" t="s">
        <v>183</v>
      </c>
      <c r="C169" s="27" t="s">
        <v>1586</v>
      </c>
      <c r="D169" s="673"/>
      <c r="E169" s="648"/>
      <c r="F169" s="648"/>
      <c r="G169" s="417" t="s">
        <v>1587</v>
      </c>
      <c r="H169" s="417" t="s">
        <v>531</v>
      </c>
      <c r="I169" s="417">
        <v>0.05</v>
      </c>
      <c r="J169" s="417" t="s">
        <v>179</v>
      </c>
      <c r="K169" s="417" t="s">
        <v>73</v>
      </c>
      <c r="L169" s="417" t="s">
        <v>60</v>
      </c>
      <c r="M169" s="417" t="s">
        <v>1322</v>
      </c>
      <c r="N169" s="417" t="s">
        <v>1323</v>
      </c>
      <c r="O169" s="40">
        <v>44197</v>
      </c>
      <c r="P169" s="40">
        <v>44561</v>
      </c>
      <c r="Q169" s="417">
        <f t="shared" si="14"/>
        <v>0</v>
      </c>
      <c r="R169" s="417">
        <v>1</v>
      </c>
      <c r="S169" s="41">
        <f t="shared" si="13"/>
        <v>1</v>
      </c>
      <c r="T169" s="417">
        <v>0</v>
      </c>
      <c r="U169" s="417">
        <v>0</v>
      </c>
      <c r="V169" s="417" t="s">
        <v>1588</v>
      </c>
      <c r="W169" s="417">
        <v>0</v>
      </c>
      <c r="X169" s="417">
        <v>0</v>
      </c>
      <c r="Y169" s="417" t="s">
        <v>1588</v>
      </c>
      <c r="Z169" s="417">
        <v>0</v>
      </c>
      <c r="AA169" s="82">
        <v>0</v>
      </c>
      <c r="AB169" s="82" t="s">
        <v>1589</v>
      </c>
      <c r="AC169" s="417">
        <v>0</v>
      </c>
      <c r="AD169" s="328">
        <v>0</v>
      </c>
      <c r="AE169" s="82" t="s">
        <v>1590</v>
      </c>
      <c r="AF169" s="417">
        <v>0</v>
      </c>
      <c r="AG169" s="138">
        <v>0</v>
      </c>
      <c r="AH169" s="179" t="s">
        <v>1591</v>
      </c>
      <c r="AI169" s="417">
        <v>0</v>
      </c>
      <c r="AJ169" s="417">
        <v>0</v>
      </c>
      <c r="AK169" s="417" t="s">
        <v>1592</v>
      </c>
      <c r="AL169" s="417">
        <v>0</v>
      </c>
      <c r="AM169" s="417"/>
      <c r="AN169" s="417"/>
      <c r="AO169" s="417">
        <v>0</v>
      </c>
      <c r="AP169" s="417"/>
      <c r="AQ169" s="417"/>
      <c r="AR169" s="417">
        <v>0</v>
      </c>
      <c r="AS169" s="417"/>
      <c r="AT169" s="417"/>
      <c r="AU169" s="417">
        <v>0</v>
      </c>
      <c r="AV169" s="417"/>
      <c r="AW169" s="417"/>
      <c r="AX169" s="417">
        <v>0</v>
      </c>
      <c r="AY169" s="417"/>
      <c r="AZ169" s="417"/>
      <c r="BA169" s="417">
        <v>1</v>
      </c>
      <c r="BB169" s="41"/>
      <c r="BC169" s="41"/>
      <c r="BD169" s="413">
        <f t="shared" si="11"/>
        <v>0</v>
      </c>
      <c r="BE169" s="413">
        <f t="shared" si="12"/>
        <v>0</v>
      </c>
      <c r="BF169" s="68" t="str">
        <f t="shared" si="15"/>
        <v>No programación, No avance</v>
      </c>
    </row>
    <row r="170" spans="2:61" s="2" customFormat="1" ht="52.5" hidden="1" customHeight="1">
      <c r="B170" s="44" t="s">
        <v>183</v>
      </c>
      <c r="C170" s="27" t="s">
        <v>1593</v>
      </c>
      <c r="D170" s="673"/>
      <c r="E170" s="648"/>
      <c r="F170" s="648"/>
      <c r="G170" s="417" t="s">
        <v>1594</v>
      </c>
      <c r="H170" s="417" t="s">
        <v>531</v>
      </c>
      <c r="I170" s="417">
        <v>0.1</v>
      </c>
      <c r="J170" s="417" t="s">
        <v>179</v>
      </c>
      <c r="K170" s="417" t="s">
        <v>73</v>
      </c>
      <c r="L170" s="417" t="s">
        <v>1595</v>
      </c>
      <c r="M170" s="417" t="s">
        <v>1322</v>
      </c>
      <c r="N170" s="417" t="s">
        <v>1323</v>
      </c>
      <c r="O170" s="40">
        <v>44197</v>
      </c>
      <c r="P170" s="40">
        <v>44561</v>
      </c>
      <c r="Q170" s="417">
        <f t="shared" si="14"/>
        <v>0</v>
      </c>
      <c r="R170" s="417">
        <v>1</v>
      </c>
      <c r="S170" s="41">
        <f t="shared" si="13"/>
        <v>1</v>
      </c>
      <c r="T170" s="417">
        <v>0</v>
      </c>
      <c r="U170" s="417">
        <v>0</v>
      </c>
      <c r="V170" s="417" t="s">
        <v>1596</v>
      </c>
      <c r="W170" s="417">
        <v>0</v>
      </c>
      <c r="X170" s="417">
        <v>0</v>
      </c>
      <c r="Y170" s="417" t="s">
        <v>1596</v>
      </c>
      <c r="Z170" s="417">
        <v>0</v>
      </c>
      <c r="AA170" s="82">
        <v>0</v>
      </c>
      <c r="AB170" s="82" t="s">
        <v>1597</v>
      </c>
      <c r="AC170" s="417">
        <v>0</v>
      </c>
      <c r="AD170" s="328">
        <v>0</v>
      </c>
      <c r="AE170" s="82" t="s">
        <v>1542</v>
      </c>
      <c r="AF170" s="417">
        <v>0</v>
      </c>
      <c r="AG170" s="138">
        <v>0</v>
      </c>
      <c r="AH170" s="179" t="s">
        <v>1598</v>
      </c>
      <c r="AI170" s="417">
        <v>0</v>
      </c>
      <c r="AJ170" s="417">
        <v>0</v>
      </c>
      <c r="AK170" s="417" t="s">
        <v>1599</v>
      </c>
      <c r="AL170" s="417">
        <v>0</v>
      </c>
      <c r="AM170" s="417"/>
      <c r="AN170" s="417"/>
      <c r="AO170" s="417">
        <v>0</v>
      </c>
      <c r="AP170" s="417"/>
      <c r="AQ170" s="417"/>
      <c r="AR170" s="417">
        <v>0</v>
      </c>
      <c r="AS170" s="417"/>
      <c r="AT170" s="417"/>
      <c r="AU170" s="417">
        <v>0</v>
      </c>
      <c r="AV170" s="417"/>
      <c r="AW170" s="417"/>
      <c r="AX170" s="417">
        <v>0</v>
      </c>
      <c r="AY170" s="417"/>
      <c r="AZ170" s="417"/>
      <c r="BA170" s="417">
        <v>1</v>
      </c>
      <c r="BB170" s="41"/>
      <c r="BC170" s="41"/>
      <c r="BD170" s="413">
        <f t="shared" si="11"/>
        <v>0</v>
      </c>
      <c r="BE170" s="413">
        <f t="shared" si="12"/>
        <v>0</v>
      </c>
      <c r="BF170" s="68" t="str">
        <f t="shared" si="15"/>
        <v>No programación, No avance</v>
      </c>
    </row>
    <row r="171" spans="2:61" s="2" customFormat="1" ht="52.5" hidden="1" customHeight="1">
      <c r="B171" s="44" t="s">
        <v>185</v>
      </c>
      <c r="C171" s="27" t="s">
        <v>1600</v>
      </c>
      <c r="D171" s="673"/>
      <c r="E171" s="648" t="s">
        <v>186</v>
      </c>
      <c r="F171" s="648" t="s">
        <v>1601</v>
      </c>
      <c r="G171" s="417" t="s">
        <v>1602</v>
      </c>
      <c r="H171" s="417" t="s">
        <v>531</v>
      </c>
      <c r="I171" s="417">
        <v>0.2</v>
      </c>
      <c r="J171" s="417" t="s">
        <v>179</v>
      </c>
      <c r="K171" s="417" t="s">
        <v>73</v>
      </c>
      <c r="L171" s="417" t="s">
        <v>1418</v>
      </c>
      <c r="M171" s="417" t="s">
        <v>1322</v>
      </c>
      <c r="N171" s="417" t="s">
        <v>1323</v>
      </c>
      <c r="O171" s="40">
        <v>44197</v>
      </c>
      <c r="P171" s="40">
        <v>44561</v>
      </c>
      <c r="Q171" s="417">
        <f t="shared" si="14"/>
        <v>0</v>
      </c>
      <c r="R171" s="417">
        <v>1</v>
      </c>
      <c r="S171" s="41">
        <f t="shared" si="13"/>
        <v>1</v>
      </c>
      <c r="T171" s="417">
        <v>0</v>
      </c>
      <c r="U171" s="417">
        <v>0</v>
      </c>
      <c r="V171" s="417" t="s">
        <v>1530</v>
      </c>
      <c r="W171" s="417">
        <v>0</v>
      </c>
      <c r="X171" s="417">
        <v>0</v>
      </c>
      <c r="Y171" s="417" t="s">
        <v>1603</v>
      </c>
      <c r="Z171" s="417">
        <v>0</v>
      </c>
      <c r="AA171" s="82">
        <v>0</v>
      </c>
      <c r="AB171" s="82" t="s">
        <v>1603</v>
      </c>
      <c r="AC171" s="417">
        <v>0</v>
      </c>
      <c r="AD171" s="328">
        <v>0</v>
      </c>
      <c r="AE171" s="82" t="s">
        <v>1604</v>
      </c>
      <c r="AF171" s="417">
        <v>0</v>
      </c>
      <c r="AG171" s="138">
        <v>0</v>
      </c>
      <c r="AH171" s="179" t="s">
        <v>1605</v>
      </c>
      <c r="AI171" s="417">
        <v>0</v>
      </c>
      <c r="AJ171" s="417">
        <v>0</v>
      </c>
      <c r="AK171" s="417" t="s">
        <v>1606</v>
      </c>
      <c r="AL171" s="417">
        <v>0</v>
      </c>
      <c r="AM171" s="417"/>
      <c r="AN171" s="417"/>
      <c r="AO171" s="417">
        <v>0</v>
      </c>
      <c r="AP171" s="417"/>
      <c r="AQ171" s="417"/>
      <c r="AR171" s="417">
        <v>0</v>
      </c>
      <c r="AS171" s="417"/>
      <c r="AT171" s="417"/>
      <c r="AU171" s="417">
        <v>0</v>
      </c>
      <c r="AV171" s="417"/>
      <c r="AW171" s="417"/>
      <c r="AX171" s="417">
        <v>0</v>
      </c>
      <c r="AY171" s="417"/>
      <c r="AZ171" s="417"/>
      <c r="BA171" s="417">
        <v>1</v>
      </c>
      <c r="BB171" s="41"/>
      <c r="BC171" s="41"/>
      <c r="BD171" s="413">
        <f t="shared" si="11"/>
        <v>0</v>
      </c>
      <c r="BE171" s="413">
        <f t="shared" si="12"/>
        <v>0</v>
      </c>
      <c r="BF171" s="68" t="str">
        <f t="shared" si="15"/>
        <v>No programación, No avance</v>
      </c>
    </row>
    <row r="172" spans="2:61" s="2" customFormat="1" ht="52.5" hidden="1" customHeight="1">
      <c r="B172" s="44" t="s">
        <v>185</v>
      </c>
      <c r="C172" s="27" t="s">
        <v>1607</v>
      </c>
      <c r="D172" s="673"/>
      <c r="E172" s="648"/>
      <c r="F172" s="648"/>
      <c r="G172" s="146" t="s">
        <v>1608</v>
      </c>
      <c r="H172" s="417" t="s">
        <v>531</v>
      </c>
      <c r="I172" s="417">
        <v>0.1</v>
      </c>
      <c r="J172" s="417" t="s">
        <v>179</v>
      </c>
      <c r="K172" s="417" t="s">
        <v>73</v>
      </c>
      <c r="L172" s="417" t="s">
        <v>1609</v>
      </c>
      <c r="M172" s="417" t="s">
        <v>1322</v>
      </c>
      <c r="N172" s="417" t="s">
        <v>1323</v>
      </c>
      <c r="O172" s="40">
        <v>44197</v>
      </c>
      <c r="P172" s="40">
        <v>44561</v>
      </c>
      <c r="Q172" s="417">
        <f t="shared" si="14"/>
        <v>0</v>
      </c>
      <c r="R172" s="417">
        <v>1</v>
      </c>
      <c r="S172" s="41">
        <f t="shared" si="13"/>
        <v>1</v>
      </c>
      <c r="T172" s="417">
        <v>0</v>
      </c>
      <c r="U172" s="417">
        <v>0</v>
      </c>
      <c r="V172" s="417" t="s">
        <v>1530</v>
      </c>
      <c r="W172" s="417">
        <v>0</v>
      </c>
      <c r="X172" s="417">
        <v>0</v>
      </c>
      <c r="Y172" s="417" t="s">
        <v>1610</v>
      </c>
      <c r="Z172" s="417">
        <v>0</v>
      </c>
      <c r="AA172" s="82">
        <v>0</v>
      </c>
      <c r="AB172" s="82" t="s">
        <v>1611</v>
      </c>
      <c r="AC172" s="417">
        <v>0</v>
      </c>
      <c r="AD172" s="328">
        <v>0</v>
      </c>
      <c r="AE172" s="343" t="s">
        <v>1612</v>
      </c>
      <c r="AF172" s="417">
        <v>0</v>
      </c>
      <c r="AG172" s="138">
        <v>0</v>
      </c>
      <c r="AH172" s="178" t="s">
        <v>1613</v>
      </c>
      <c r="AI172" s="417">
        <v>0</v>
      </c>
      <c r="AJ172" s="417">
        <v>0</v>
      </c>
      <c r="AK172" s="417" t="s">
        <v>1614</v>
      </c>
      <c r="AL172" s="417">
        <v>0</v>
      </c>
      <c r="AM172" s="417"/>
      <c r="AN172" s="417"/>
      <c r="AO172" s="417">
        <v>0</v>
      </c>
      <c r="AP172" s="417"/>
      <c r="AQ172" s="417"/>
      <c r="AR172" s="417">
        <v>0</v>
      </c>
      <c r="AS172" s="417"/>
      <c r="AT172" s="417"/>
      <c r="AU172" s="417">
        <v>0</v>
      </c>
      <c r="AV172" s="417"/>
      <c r="AW172" s="417"/>
      <c r="AX172" s="417">
        <v>0</v>
      </c>
      <c r="AY172" s="417"/>
      <c r="AZ172" s="417"/>
      <c r="BA172" s="417">
        <v>1</v>
      </c>
      <c r="BB172" s="41"/>
      <c r="BC172" s="41"/>
      <c r="BD172" s="413">
        <f t="shared" si="11"/>
        <v>0</v>
      </c>
      <c r="BE172" s="413">
        <f t="shared" si="12"/>
        <v>0</v>
      </c>
      <c r="BF172" s="68" t="str">
        <f t="shared" si="15"/>
        <v>No programación, No avance</v>
      </c>
    </row>
    <row r="173" spans="2:61" s="2" customFormat="1" ht="52.5" hidden="1" customHeight="1">
      <c r="B173" s="44" t="s">
        <v>185</v>
      </c>
      <c r="C173" s="27" t="s">
        <v>1615</v>
      </c>
      <c r="D173" s="673"/>
      <c r="E173" s="648"/>
      <c r="F173" s="648"/>
      <c r="G173" s="146" t="s">
        <v>1616</v>
      </c>
      <c r="H173" s="417" t="s">
        <v>531</v>
      </c>
      <c r="I173" s="417">
        <v>0.1</v>
      </c>
      <c r="J173" s="417" t="s">
        <v>179</v>
      </c>
      <c r="K173" s="417" t="s">
        <v>73</v>
      </c>
      <c r="L173" s="417" t="s">
        <v>1609</v>
      </c>
      <c r="M173" s="417" t="s">
        <v>1322</v>
      </c>
      <c r="N173" s="417" t="s">
        <v>1323</v>
      </c>
      <c r="O173" s="40">
        <v>44197</v>
      </c>
      <c r="P173" s="40">
        <v>44561</v>
      </c>
      <c r="Q173" s="417">
        <f t="shared" si="14"/>
        <v>0</v>
      </c>
      <c r="R173" s="417">
        <v>1</v>
      </c>
      <c r="S173" s="41">
        <f t="shared" si="13"/>
        <v>1</v>
      </c>
      <c r="T173" s="417">
        <v>0</v>
      </c>
      <c r="U173" s="417">
        <v>0</v>
      </c>
      <c r="V173" s="417" t="s">
        <v>1530</v>
      </c>
      <c r="W173" s="417">
        <v>0</v>
      </c>
      <c r="X173" s="417">
        <v>0</v>
      </c>
      <c r="Y173" s="417" t="s">
        <v>1617</v>
      </c>
      <c r="Z173" s="417">
        <v>0</v>
      </c>
      <c r="AA173" s="82">
        <v>0</v>
      </c>
      <c r="AB173" s="82" t="s">
        <v>1618</v>
      </c>
      <c r="AC173" s="417">
        <v>0</v>
      </c>
      <c r="AD173" s="328">
        <v>0</v>
      </c>
      <c r="AE173" s="343" t="s">
        <v>1619</v>
      </c>
      <c r="AF173" s="417">
        <v>0</v>
      </c>
      <c r="AG173" s="138">
        <v>0</v>
      </c>
      <c r="AH173" s="178" t="s">
        <v>1620</v>
      </c>
      <c r="AI173" s="417">
        <v>0</v>
      </c>
      <c r="AJ173" s="417">
        <v>0</v>
      </c>
      <c r="AK173" s="417" t="s">
        <v>1621</v>
      </c>
      <c r="AL173" s="417">
        <v>0</v>
      </c>
      <c r="AM173" s="417"/>
      <c r="AN173" s="417"/>
      <c r="AO173" s="417">
        <v>0</v>
      </c>
      <c r="AP173" s="417"/>
      <c r="AQ173" s="417"/>
      <c r="AR173" s="417">
        <v>0</v>
      </c>
      <c r="AS173" s="417"/>
      <c r="AT173" s="417"/>
      <c r="AU173" s="417">
        <v>0</v>
      </c>
      <c r="AV173" s="417"/>
      <c r="AW173" s="417"/>
      <c r="AX173" s="417">
        <v>0</v>
      </c>
      <c r="AY173" s="417"/>
      <c r="AZ173" s="417"/>
      <c r="BA173" s="417">
        <v>1</v>
      </c>
      <c r="BB173" s="41"/>
      <c r="BC173" s="41"/>
      <c r="BD173" s="413">
        <f t="shared" si="11"/>
        <v>0</v>
      </c>
      <c r="BE173" s="413">
        <f t="shared" si="12"/>
        <v>0</v>
      </c>
      <c r="BF173" s="68" t="str">
        <f t="shared" si="15"/>
        <v>No programación, No avance</v>
      </c>
    </row>
    <row r="174" spans="2:61" s="2" customFormat="1" ht="52.5" hidden="1" customHeight="1">
      <c r="B174" s="44" t="s">
        <v>185</v>
      </c>
      <c r="C174" s="27" t="s">
        <v>1622</v>
      </c>
      <c r="D174" s="673"/>
      <c r="E174" s="648"/>
      <c r="F174" s="648"/>
      <c r="G174" s="146" t="s">
        <v>1623</v>
      </c>
      <c r="H174" s="417" t="s">
        <v>531</v>
      </c>
      <c r="I174" s="417">
        <v>0.25</v>
      </c>
      <c r="J174" s="417" t="s">
        <v>179</v>
      </c>
      <c r="K174" s="417" t="s">
        <v>73</v>
      </c>
      <c r="L174" s="417" t="s">
        <v>1624</v>
      </c>
      <c r="M174" s="417" t="s">
        <v>1322</v>
      </c>
      <c r="N174" s="417" t="s">
        <v>1323</v>
      </c>
      <c r="O174" s="40">
        <v>44197</v>
      </c>
      <c r="P174" s="40">
        <v>44561</v>
      </c>
      <c r="Q174" s="417">
        <f t="shared" si="14"/>
        <v>0</v>
      </c>
      <c r="R174" s="417">
        <v>3</v>
      </c>
      <c r="S174" s="41">
        <f t="shared" si="13"/>
        <v>3</v>
      </c>
      <c r="T174" s="417">
        <v>0</v>
      </c>
      <c r="U174" s="417">
        <v>0</v>
      </c>
      <c r="V174" s="417" t="s">
        <v>1530</v>
      </c>
      <c r="W174" s="417">
        <v>0</v>
      </c>
      <c r="X174" s="417">
        <v>0</v>
      </c>
      <c r="Y174" s="417" t="s">
        <v>1625</v>
      </c>
      <c r="Z174" s="417">
        <v>0</v>
      </c>
      <c r="AA174" s="82">
        <v>0</v>
      </c>
      <c r="AB174" s="82" t="s">
        <v>1626</v>
      </c>
      <c r="AC174" s="417">
        <v>0</v>
      </c>
      <c r="AD174" s="328">
        <v>0</v>
      </c>
      <c r="AE174" s="339" t="s">
        <v>1627</v>
      </c>
      <c r="AF174" s="417">
        <v>0</v>
      </c>
      <c r="AG174" s="138">
        <v>0</v>
      </c>
      <c r="AH174" s="178" t="s">
        <v>1628</v>
      </c>
      <c r="AI174" s="417">
        <v>0</v>
      </c>
      <c r="AJ174" s="417">
        <v>0</v>
      </c>
      <c r="AK174" s="417" t="s">
        <v>1629</v>
      </c>
      <c r="AL174" s="417">
        <v>0</v>
      </c>
      <c r="AM174" s="417"/>
      <c r="AN174" s="417"/>
      <c r="AO174" s="417">
        <v>0</v>
      </c>
      <c r="AP174" s="417"/>
      <c r="AQ174" s="417"/>
      <c r="AR174" s="417">
        <v>0</v>
      </c>
      <c r="AS174" s="417"/>
      <c r="AT174" s="417"/>
      <c r="AU174" s="417">
        <v>0</v>
      </c>
      <c r="AV174" s="417"/>
      <c r="AW174" s="417"/>
      <c r="AX174" s="417">
        <v>0</v>
      </c>
      <c r="AY174" s="417"/>
      <c r="AZ174" s="417"/>
      <c r="BA174" s="417">
        <v>3</v>
      </c>
      <c r="BB174" s="41"/>
      <c r="BC174" s="41"/>
      <c r="BD174" s="413">
        <f t="shared" si="11"/>
        <v>0</v>
      </c>
      <c r="BE174" s="413">
        <f t="shared" si="12"/>
        <v>0</v>
      </c>
      <c r="BF174" s="68" t="str">
        <f t="shared" si="15"/>
        <v>No programación, No avance</v>
      </c>
    </row>
    <row r="175" spans="2:61" s="2" customFormat="1" ht="52.5" hidden="1" customHeight="1">
      <c r="B175" s="44" t="s">
        <v>185</v>
      </c>
      <c r="C175" s="27" t="s">
        <v>1630</v>
      </c>
      <c r="D175" s="673"/>
      <c r="E175" s="648"/>
      <c r="F175" s="648"/>
      <c r="G175" s="417" t="s">
        <v>1631</v>
      </c>
      <c r="H175" s="417" t="s">
        <v>531</v>
      </c>
      <c r="I175" s="417">
        <v>0.1</v>
      </c>
      <c r="J175" s="417" t="s">
        <v>179</v>
      </c>
      <c r="K175" s="417" t="s">
        <v>73</v>
      </c>
      <c r="L175" s="417" t="s">
        <v>1609</v>
      </c>
      <c r="M175" s="417" t="s">
        <v>1322</v>
      </c>
      <c r="N175" s="417" t="s">
        <v>1323</v>
      </c>
      <c r="O175" s="40">
        <v>44197</v>
      </c>
      <c r="P175" s="40">
        <v>44561</v>
      </c>
      <c r="Q175" s="417">
        <f t="shared" si="14"/>
        <v>1</v>
      </c>
      <c r="R175" s="417">
        <v>1</v>
      </c>
      <c r="S175" s="41">
        <f t="shared" si="13"/>
        <v>1</v>
      </c>
      <c r="T175" s="417">
        <v>0</v>
      </c>
      <c r="U175" s="417">
        <v>1</v>
      </c>
      <c r="V175" s="417" t="s">
        <v>1530</v>
      </c>
      <c r="W175" s="417">
        <v>0</v>
      </c>
      <c r="X175" s="417">
        <v>0</v>
      </c>
      <c r="Y175" s="417" t="s">
        <v>1632</v>
      </c>
      <c r="Z175" s="417">
        <v>0</v>
      </c>
      <c r="AA175" s="82">
        <v>0</v>
      </c>
      <c r="AB175" s="82" t="s">
        <v>1632</v>
      </c>
      <c r="AC175" s="417">
        <v>0</v>
      </c>
      <c r="AD175" s="328">
        <v>0</v>
      </c>
      <c r="AE175" s="343" t="s">
        <v>1632</v>
      </c>
      <c r="AF175" s="417">
        <v>0</v>
      </c>
      <c r="AG175" s="138">
        <v>0</v>
      </c>
      <c r="AH175" s="178" t="s">
        <v>1632</v>
      </c>
      <c r="AI175" s="417">
        <v>0</v>
      </c>
      <c r="AJ175" s="417">
        <v>0</v>
      </c>
      <c r="AK175" s="417" t="s">
        <v>1632</v>
      </c>
      <c r="AL175" s="417">
        <v>0</v>
      </c>
      <c r="AM175" s="417"/>
      <c r="AN175" s="417"/>
      <c r="AO175" s="417">
        <v>0</v>
      </c>
      <c r="AP175" s="417"/>
      <c r="AQ175" s="417"/>
      <c r="AR175" s="417">
        <v>0</v>
      </c>
      <c r="AS175" s="417"/>
      <c r="AT175" s="417"/>
      <c r="AU175" s="417">
        <v>0</v>
      </c>
      <c r="AV175" s="417"/>
      <c r="AW175" s="417"/>
      <c r="AX175" s="417">
        <v>0</v>
      </c>
      <c r="AY175" s="417"/>
      <c r="AZ175" s="417"/>
      <c r="BA175" s="417">
        <v>1</v>
      </c>
      <c r="BB175" s="41"/>
      <c r="BC175" s="41"/>
      <c r="BD175" s="413">
        <f t="shared" si="11"/>
        <v>0</v>
      </c>
      <c r="BE175" s="413">
        <f t="shared" si="12"/>
        <v>1</v>
      </c>
      <c r="BF175" s="68">
        <f t="shared" si="15"/>
        <v>1</v>
      </c>
    </row>
    <row r="176" spans="2:61" s="2" customFormat="1" ht="52.5" hidden="1" customHeight="1">
      <c r="B176" s="44" t="s">
        <v>185</v>
      </c>
      <c r="C176" s="27" t="s">
        <v>1633</v>
      </c>
      <c r="D176" s="673"/>
      <c r="E176" s="648"/>
      <c r="F176" s="648"/>
      <c r="G176" s="146" t="s">
        <v>1634</v>
      </c>
      <c r="H176" s="417" t="s">
        <v>531</v>
      </c>
      <c r="I176" s="417">
        <v>0.1</v>
      </c>
      <c r="J176" s="417" t="s">
        <v>179</v>
      </c>
      <c r="K176" s="417" t="s">
        <v>73</v>
      </c>
      <c r="L176" s="417" t="s">
        <v>1609</v>
      </c>
      <c r="M176" s="417" t="s">
        <v>1322</v>
      </c>
      <c r="N176" s="417" t="s">
        <v>1323</v>
      </c>
      <c r="O176" s="40">
        <v>44197</v>
      </c>
      <c r="P176" s="40">
        <v>44561</v>
      </c>
      <c r="Q176" s="417">
        <f t="shared" si="14"/>
        <v>0</v>
      </c>
      <c r="R176" s="417">
        <v>1</v>
      </c>
      <c r="S176" s="41">
        <f t="shared" si="13"/>
        <v>1</v>
      </c>
      <c r="T176" s="417">
        <v>0</v>
      </c>
      <c r="U176" s="417">
        <v>0</v>
      </c>
      <c r="V176" s="417" t="s">
        <v>1530</v>
      </c>
      <c r="W176" s="417">
        <v>0</v>
      </c>
      <c r="X176" s="417">
        <v>0</v>
      </c>
      <c r="Y176" s="417" t="s">
        <v>1635</v>
      </c>
      <c r="Z176" s="417">
        <v>0</v>
      </c>
      <c r="AA176" s="82">
        <v>0</v>
      </c>
      <c r="AB176" s="82" t="s">
        <v>1636</v>
      </c>
      <c r="AC176" s="417">
        <v>0</v>
      </c>
      <c r="AD176" s="328">
        <v>0</v>
      </c>
      <c r="AE176" s="343" t="s">
        <v>1637</v>
      </c>
      <c r="AF176" s="417">
        <v>0</v>
      </c>
      <c r="AG176" s="138">
        <v>0</v>
      </c>
      <c r="AH176" s="178" t="s">
        <v>1638</v>
      </c>
      <c r="AI176" s="417">
        <v>0</v>
      </c>
      <c r="AJ176" s="417">
        <v>0</v>
      </c>
      <c r="AK176" s="417" t="s">
        <v>1639</v>
      </c>
      <c r="AL176" s="417">
        <v>0</v>
      </c>
      <c r="AM176" s="417"/>
      <c r="AN176" s="417"/>
      <c r="AO176" s="417">
        <v>0</v>
      </c>
      <c r="AP176" s="417"/>
      <c r="AQ176" s="417"/>
      <c r="AR176" s="417">
        <v>0</v>
      </c>
      <c r="AS176" s="417"/>
      <c r="AT176" s="417"/>
      <c r="AU176" s="417">
        <v>0</v>
      </c>
      <c r="AV176" s="417"/>
      <c r="AW176" s="417"/>
      <c r="AX176" s="417">
        <v>0</v>
      </c>
      <c r="AY176" s="417"/>
      <c r="AZ176" s="417"/>
      <c r="BA176" s="417">
        <v>1</v>
      </c>
      <c r="BB176" s="41"/>
      <c r="BC176" s="41"/>
      <c r="BD176" s="413">
        <f t="shared" si="11"/>
        <v>0</v>
      </c>
      <c r="BE176" s="413">
        <f t="shared" si="12"/>
        <v>0</v>
      </c>
      <c r="BF176" s="68" t="str">
        <f t="shared" si="15"/>
        <v>No programación, No avance</v>
      </c>
    </row>
    <row r="177" spans="2:59" s="2" customFormat="1" ht="52.5" customHeight="1">
      <c r="B177" s="44" t="s">
        <v>185</v>
      </c>
      <c r="C177" s="27" t="s">
        <v>1640</v>
      </c>
      <c r="D177" s="673"/>
      <c r="E177" s="648"/>
      <c r="F177" s="648"/>
      <c r="G177" s="417" t="s">
        <v>1641</v>
      </c>
      <c r="H177" s="417" t="s">
        <v>531</v>
      </c>
      <c r="I177" s="417">
        <v>0.15</v>
      </c>
      <c r="J177" s="417" t="s">
        <v>179</v>
      </c>
      <c r="K177" s="417" t="s">
        <v>73</v>
      </c>
      <c r="L177" s="417" t="s">
        <v>1609</v>
      </c>
      <c r="M177" s="417" t="s">
        <v>1322</v>
      </c>
      <c r="N177" s="417" t="s">
        <v>1323</v>
      </c>
      <c r="O177" s="40">
        <v>44197</v>
      </c>
      <c r="P177" s="40">
        <v>44561</v>
      </c>
      <c r="Q177" s="417">
        <f t="shared" si="14"/>
        <v>1.6</v>
      </c>
      <c r="R177" s="417">
        <v>10</v>
      </c>
      <c r="S177" s="41">
        <f t="shared" si="13"/>
        <v>6.3</v>
      </c>
      <c r="T177" s="417">
        <v>0</v>
      </c>
      <c r="U177" s="417">
        <v>0</v>
      </c>
      <c r="V177" s="417" t="s">
        <v>1530</v>
      </c>
      <c r="W177" s="417">
        <v>0</v>
      </c>
      <c r="X177" s="417">
        <v>0.8</v>
      </c>
      <c r="Y177" s="417" t="s">
        <v>1642</v>
      </c>
      <c r="Z177" s="417">
        <f>1/R177</f>
        <v>0.1</v>
      </c>
      <c r="AA177" s="82">
        <v>0</v>
      </c>
      <c r="AB177" s="82" t="s">
        <v>1643</v>
      </c>
      <c r="AC177" s="417">
        <f>1/R177</f>
        <v>0.1</v>
      </c>
      <c r="AD177" s="328">
        <f>+(8/1)*AC177</f>
        <v>0.8</v>
      </c>
      <c r="AE177" s="343" t="s">
        <v>1644</v>
      </c>
      <c r="AF177" s="417">
        <v>0</v>
      </c>
      <c r="AG177" s="138">
        <v>0</v>
      </c>
      <c r="AH177" s="178" t="s">
        <v>1645</v>
      </c>
      <c r="AI177" s="417">
        <f>1/R177</f>
        <v>0.1</v>
      </c>
      <c r="AJ177" s="417">
        <v>0</v>
      </c>
      <c r="AK177" s="417" t="s">
        <v>1646</v>
      </c>
      <c r="AL177" s="417">
        <v>1</v>
      </c>
      <c r="AM177" s="417"/>
      <c r="AN177" s="417"/>
      <c r="AO177" s="417">
        <v>1</v>
      </c>
      <c r="AP177" s="417"/>
      <c r="AQ177" s="417"/>
      <c r="AR177" s="417">
        <v>1</v>
      </c>
      <c r="AS177" s="417"/>
      <c r="AT177" s="417"/>
      <c r="AU177" s="417">
        <v>1</v>
      </c>
      <c r="AV177" s="417"/>
      <c r="AW177" s="417"/>
      <c r="AX177" s="417">
        <v>1</v>
      </c>
      <c r="AY177" s="417"/>
      <c r="AZ177" s="417"/>
      <c r="BA177" s="417">
        <v>1</v>
      </c>
      <c r="BB177" s="41"/>
      <c r="BC177" s="41"/>
      <c r="BD177" s="413">
        <f t="shared" si="11"/>
        <v>0.30000000000000004</v>
      </c>
      <c r="BE177" s="413">
        <f t="shared" si="12"/>
        <v>1.6</v>
      </c>
      <c r="BF177" s="68">
        <f t="shared" si="15"/>
        <v>5.333333333333333</v>
      </c>
    </row>
    <row r="178" spans="2:59" s="2" customFormat="1" ht="63" hidden="1" customHeight="1">
      <c r="B178" s="44" t="s">
        <v>187</v>
      </c>
      <c r="C178" s="27" t="s">
        <v>1647</v>
      </c>
      <c r="D178" s="673"/>
      <c r="E178" s="648" t="s">
        <v>188</v>
      </c>
      <c r="F178" s="648" t="s">
        <v>1648</v>
      </c>
      <c r="G178" s="410" t="s">
        <v>1649</v>
      </c>
      <c r="H178" s="410" t="s">
        <v>472</v>
      </c>
      <c r="I178" s="410">
        <v>0.5</v>
      </c>
      <c r="J178" s="410" t="s">
        <v>179</v>
      </c>
      <c r="K178" s="410" t="s">
        <v>73</v>
      </c>
      <c r="L178" s="410" t="s">
        <v>1650</v>
      </c>
      <c r="M178" s="410" t="s">
        <v>1322</v>
      </c>
      <c r="N178" s="410" t="s">
        <v>1323</v>
      </c>
      <c r="O178" s="38">
        <v>44197</v>
      </c>
      <c r="P178" s="38">
        <v>44561</v>
      </c>
      <c r="Q178" s="410">
        <f t="shared" si="14"/>
        <v>0</v>
      </c>
      <c r="R178" s="410">
        <v>3</v>
      </c>
      <c r="S178" s="413">
        <f t="shared" si="13"/>
        <v>1</v>
      </c>
      <c r="T178" s="410">
        <v>0</v>
      </c>
      <c r="U178" s="410">
        <v>0</v>
      </c>
      <c r="V178" s="410" t="s">
        <v>1651</v>
      </c>
      <c r="W178" s="410">
        <v>0</v>
      </c>
      <c r="X178" s="410">
        <v>0</v>
      </c>
      <c r="Y178" s="410" t="s">
        <v>1652</v>
      </c>
      <c r="Z178" s="410">
        <v>0</v>
      </c>
      <c r="AA178" s="51">
        <v>0</v>
      </c>
      <c r="AB178" s="51" t="s">
        <v>1653</v>
      </c>
      <c r="AC178" s="410">
        <v>0</v>
      </c>
      <c r="AD178" s="30">
        <v>0</v>
      </c>
      <c r="AE178" s="51" t="s">
        <v>1654</v>
      </c>
      <c r="AF178" s="410">
        <f>3/R178</f>
        <v>1</v>
      </c>
      <c r="AG178" s="241">
        <v>0</v>
      </c>
      <c r="AH178" s="194" t="s">
        <v>1655</v>
      </c>
      <c r="AI178" s="410">
        <v>0</v>
      </c>
      <c r="AJ178" s="410">
        <v>0</v>
      </c>
      <c r="AK178" s="410" t="s">
        <v>1656</v>
      </c>
      <c r="AL178" s="410">
        <v>0</v>
      </c>
      <c r="AM178" s="410"/>
      <c r="AN178" s="410"/>
      <c r="AO178" s="410">
        <v>0</v>
      </c>
      <c r="AP178" s="410"/>
      <c r="AQ178" s="410"/>
      <c r="AR178" s="410">
        <v>0</v>
      </c>
      <c r="AS178" s="410"/>
      <c r="AT178" s="410"/>
      <c r="AU178" s="410">
        <v>0</v>
      </c>
      <c r="AV178" s="410"/>
      <c r="AW178" s="410"/>
      <c r="AX178" s="410">
        <v>0</v>
      </c>
      <c r="AY178" s="410"/>
      <c r="AZ178" s="410"/>
      <c r="BA178" s="137">
        <v>0</v>
      </c>
      <c r="BB178" s="413"/>
      <c r="BC178" s="413"/>
      <c r="BD178" s="413">
        <f t="shared" ref="BD178:BD241" si="16">+T178+W178+Z178+AC178+AF178+AI178</f>
        <v>1</v>
      </c>
      <c r="BE178" s="413">
        <f t="shared" ref="BE178:BE241" si="17">+U178+X178+AA178+AD178+AG178+AJ178</f>
        <v>0</v>
      </c>
      <c r="BF178" s="48">
        <f t="shared" si="15"/>
        <v>0</v>
      </c>
    </row>
    <row r="179" spans="2:59" s="2" customFormat="1" ht="52.5" hidden="1" customHeight="1">
      <c r="B179" s="44" t="s">
        <v>187</v>
      </c>
      <c r="C179" s="27" t="s">
        <v>1657</v>
      </c>
      <c r="D179" s="673"/>
      <c r="E179" s="648"/>
      <c r="F179" s="648"/>
      <c r="G179" s="410" t="s">
        <v>1658</v>
      </c>
      <c r="H179" s="410" t="s">
        <v>472</v>
      </c>
      <c r="I179" s="410">
        <v>0.2</v>
      </c>
      <c r="J179" s="410" t="s">
        <v>179</v>
      </c>
      <c r="K179" s="410" t="s">
        <v>73</v>
      </c>
      <c r="L179" s="410" t="s">
        <v>1659</v>
      </c>
      <c r="M179" s="410" t="s">
        <v>1322</v>
      </c>
      <c r="N179" s="410" t="s">
        <v>1323</v>
      </c>
      <c r="O179" s="38">
        <v>44197</v>
      </c>
      <c r="P179" s="38">
        <v>44561</v>
      </c>
      <c r="Q179" s="410">
        <f t="shared" si="14"/>
        <v>0.30000000000000004</v>
      </c>
      <c r="R179" s="410">
        <v>10</v>
      </c>
      <c r="S179" s="413">
        <f t="shared" si="13"/>
        <v>6.4</v>
      </c>
      <c r="T179" s="410">
        <v>0</v>
      </c>
      <c r="U179" s="410">
        <v>0</v>
      </c>
      <c r="V179" s="410" t="s">
        <v>1660</v>
      </c>
      <c r="W179" s="410">
        <v>0</v>
      </c>
      <c r="X179" s="410">
        <v>0</v>
      </c>
      <c r="Y179" s="410" t="s">
        <v>1661</v>
      </c>
      <c r="Z179" s="410">
        <f>1/R179</f>
        <v>0.1</v>
      </c>
      <c r="AA179" s="51">
        <v>0</v>
      </c>
      <c r="AB179" s="51" t="s">
        <v>1662</v>
      </c>
      <c r="AC179" s="410">
        <f>1/R179</f>
        <v>0.1</v>
      </c>
      <c r="AD179" s="30">
        <f>+(2/1)*AC179</f>
        <v>0.2</v>
      </c>
      <c r="AE179" s="51" t="s">
        <v>1663</v>
      </c>
      <c r="AF179" s="410">
        <f>1/R179</f>
        <v>0.1</v>
      </c>
      <c r="AG179" s="241">
        <v>0</v>
      </c>
      <c r="AH179" s="154" t="s">
        <v>1664</v>
      </c>
      <c r="AI179" s="410">
        <f>1/R179</f>
        <v>0.1</v>
      </c>
      <c r="AJ179" s="410">
        <f>1*AI179</f>
        <v>0.1</v>
      </c>
      <c r="AK179" s="410" t="s">
        <v>1665</v>
      </c>
      <c r="AL179" s="410">
        <v>1</v>
      </c>
      <c r="AM179" s="410"/>
      <c r="AN179" s="410"/>
      <c r="AO179" s="410">
        <v>1</v>
      </c>
      <c r="AP179" s="410"/>
      <c r="AQ179" s="410"/>
      <c r="AR179" s="410">
        <v>1</v>
      </c>
      <c r="AS179" s="410"/>
      <c r="AT179" s="410"/>
      <c r="AU179" s="410">
        <v>1</v>
      </c>
      <c r="AV179" s="410"/>
      <c r="AW179" s="410"/>
      <c r="AX179" s="410">
        <v>1</v>
      </c>
      <c r="AY179" s="410"/>
      <c r="AZ179" s="410"/>
      <c r="BA179" s="137">
        <v>1</v>
      </c>
      <c r="BB179" s="413"/>
      <c r="BC179" s="413"/>
      <c r="BD179" s="413">
        <f t="shared" si="16"/>
        <v>0.4</v>
      </c>
      <c r="BE179" s="413">
        <f t="shared" si="17"/>
        <v>0.30000000000000004</v>
      </c>
      <c r="BF179" s="48">
        <f t="shared" si="15"/>
        <v>0.75000000000000011</v>
      </c>
    </row>
    <row r="180" spans="2:59" s="2" customFormat="1" ht="52.5" hidden="1" customHeight="1">
      <c r="B180" s="44" t="s">
        <v>187</v>
      </c>
      <c r="C180" s="100" t="s">
        <v>1666</v>
      </c>
      <c r="D180" s="673"/>
      <c r="E180" s="648"/>
      <c r="F180" s="648"/>
      <c r="G180" s="410" t="s">
        <v>1667</v>
      </c>
      <c r="H180" s="410" t="s">
        <v>472</v>
      </c>
      <c r="I180" s="410">
        <v>0.3</v>
      </c>
      <c r="J180" s="410" t="s">
        <v>179</v>
      </c>
      <c r="K180" s="410" t="s">
        <v>73</v>
      </c>
      <c r="L180" s="410" t="s">
        <v>1027</v>
      </c>
      <c r="M180" s="410" t="s">
        <v>1322</v>
      </c>
      <c r="N180" s="410" t="s">
        <v>1323</v>
      </c>
      <c r="O180" s="38">
        <v>44197</v>
      </c>
      <c r="P180" s="38">
        <v>44561</v>
      </c>
      <c r="Q180" s="410">
        <f t="shared" si="14"/>
        <v>0.16666666666666666</v>
      </c>
      <c r="R180" s="410">
        <v>6</v>
      </c>
      <c r="S180" s="413">
        <f t="shared" si="13"/>
        <v>5.166666666666667</v>
      </c>
      <c r="T180" s="410">
        <v>0</v>
      </c>
      <c r="U180" s="410">
        <v>0</v>
      </c>
      <c r="V180" s="410" t="s">
        <v>1668</v>
      </c>
      <c r="W180" s="410">
        <v>0</v>
      </c>
      <c r="X180" s="410">
        <v>0</v>
      </c>
      <c r="Y180" s="410" t="s">
        <v>1668</v>
      </c>
      <c r="Z180" s="410">
        <v>0</v>
      </c>
      <c r="AA180" s="51">
        <v>0</v>
      </c>
      <c r="AB180" s="51" t="s">
        <v>1669</v>
      </c>
      <c r="AC180" s="410">
        <v>0</v>
      </c>
      <c r="AD180" s="30">
        <v>0</v>
      </c>
      <c r="AE180" s="344" t="s">
        <v>1670</v>
      </c>
      <c r="AF180" s="410">
        <f>1/R180</f>
        <v>0.16666666666666666</v>
      </c>
      <c r="AG180" s="241">
        <f>+AF180</f>
        <v>0.16666666666666666</v>
      </c>
      <c r="AH180" s="154" t="s">
        <v>1671</v>
      </c>
      <c r="AI180" s="410">
        <v>0</v>
      </c>
      <c r="AJ180" s="410">
        <v>0</v>
      </c>
      <c r="AK180" s="410" t="s">
        <v>1672</v>
      </c>
      <c r="AL180" s="410">
        <v>1</v>
      </c>
      <c r="AM180" s="410"/>
      <c r="AN180" s="410"/>
      <c r="AO180" s="410">
        <v>1</v>
      </c>
      <c r="AP180" s="410"/>
      <c r="AQ180" s="410"/>
      <c r="AR180" s="410">
        <v>1</v>
      </c>
      <c r="AS180" s="410"/>
      <c r="AT180" s="410"/>
      <c r="AU180" s="410">
        <v>1</v>
      </c>
      <c r="AV180" s="410"/>
      <c r="AW180" s="410"/>
      <c r="AX180" s="410">
        <v>1</v>
      </c>
      <c r="AY180" s="410"/>
      <c r="AZ180" s="410"/>
      <c r="BA180" s="137">
        <v>0</v>
      </c>
      <c r="BB180" s="413"/>
      <c r="BC180" s="413"/>
      <c r="BD180" s="413">
        <f t="shared" si="16"/>
        <v>0.16666666666666666</v>
      </c>
      <c r="BE180" s="413">
        <f t="shared" si="17"/>
        <v>0.16666666666666666</v>
      </c>
      <c r="BF180" s="48">
        <f t="shared" si="15"/>
        <v>1</v>
      </c>
    </row>
    <row r="181" spans="2:59" s="2" customFormat="1" ht="47.25" hidden="1" customHeight="1">
      <c r="B181" s="44" t="s">
        <v>185</v>
      </c>
      <c r="C181" s="27" t="s">
        <v>1673</v>
      </c>
      <c r="D181" s="673"/>
      <c r="E181" s="410" t="s">
        <v>186</v>
      </c>
      <c r="F181" s="410" t="s">
        <v>186</v>
      </c>
      <c r="G181" s="410" t="s">
        <v>1674</v>
      </c>
      <c r="H181" s="410" t="s">
        <v>690</v>
      </c>
      <c r="I181" s="410">
        <v>1</v>
      </c>
      <c r="J181" s="410" t="s">
        <v>179</v>
      </c>
      <c r="K181" s="410" t="s">
        <v>73</v>
      </c>
      <c r="L181" s="410" t="s">
        <v>1027</v>
      </c>
      <c r="M181" s="410" t="s">
        <v>1322</v>
      </c>
      <c r="N181" s="410" t="s">
        <v>1323</v>
      </c>
      <c r="O181" s="38">
        <v>44197</v>
      </c>
      <c r="P181" s="38">
        <v>44561</v>
      </c>
      <c r="Q181" s="410">
        <f t="shared" si="14"/>
        <v>0</v>
      </c>
      <c r="R181" s="410">
        <v>41000</v>
      </c>
      <c r="S181" s="413">
        <f t="shared" si="13"/>
        <v>41000</v>
      </c>
      <c r="T181" s="410">
        <v>0</v>
      </c>
      <c r="U181" s="410">
        <v>0</v>
      </c>
      <c r="V181" s="410"/>
      <c r="W181" s="410">
        <v>0</v>
      </c>
      <c r="X181" s="410">
        <v>0</v>
      </c>
      <c r="Y181" s="410"/>
      <c r="Z181" s="410">
        <v>0</v>
      </c>
      <c r="AA181" s="51">
        <v>0</v>
      </c>
      <c r="AB181" s="51"/>
      <c r="AC181" s="410">
        <v>0</v>
      </c>
      <c r="AD181" s="30">
        <v>0</v>
      </c>
      <c r="AE181" s="51" t="s">
        <v>1675</v>
      </c>
      <c r="AF181" s="410">
        <v>0</v>
      </c>
      <c r="AG181" s="241">
        <v>0</v>
      </c>
      <c r="AH181" s="194" t="s">
        <v>1676</v>
      </c>
      <c r="AI181" s="410">
        <v>0</v>
      </c>
      <c r="AJ181" s="410">
        <v>0</v>
      </c>
      <c r="AK181" s="410" t="s">
        <v>1677</v>
      </c>
      <c r="AL181" s="410">
        <v>0</v>
      </c>
      <c r="AM181" s="410"/>
      <c r="AN181" s="410"/>
      <c r="AO181" s="410">
        <v>0</v>
      </c>
      <c r="AP181" s="410"/>
      <c r="AQ181" s="410"/>
      <c r="AR181" s="410">
        <v>0</v>
      </c>
      <c r="AS181" s="410"/>
      <c r="AT181" s="410"/>
      <c r="AU181" s="410">
        <v>0</v>
      </c>
      <c r="AV181" s="410"/>
      <c r="AW181" s="410"/>
      <c r="AX181" s="410">
        <v>0</v>
      </c>
      <c r="AY181" s="410"/>
      <c r="AZ181" s="410"/>
      <c r="BA181" s="137">
        <v>41000</v>
      </c>
      <c r="BB181" s="413"/>
      <c r="BC181" s="413"/>
      <c r="BD181" s="413">
        <f t="shared" si="16"/>
        <v>0</v>
      </c>
      <c r="BE181" s="413">
        <f t="shared" si="17"/>
        <v>0</v>
      </c>
      <c r="BF181" s="48" t="str">
        <f t="shared" si="15"/>
        <v>No programación, No avance</v>
      </c>
      <c r="BG181" s="47"/>
    </row>
    <row r="182" spans="2:59" s="2" customFormat="1" ht="47.25" hidden="1" customHeight="1">
      <c r="B182" s="44" t="s">
        <v>182</v>
      </c>
      <c r="C182" s="27" t="s">
        <v>1678</v>
      </c>
      <c r="D182" s="673"/>
      <c r="E182" s="410" t="s">
        <v>1458</v>
      </c>
      <c r="F182" s="410" t="s">
        <v>1679</v>
      </c>
      <c r="G182" s="410" t="s">
        <v>1680</v>
      </c>
      <c r="H182" s="410" t="s">
        <v>690</v>
      </c>
      <c r="I182" s="410">
        <v>1</v>
      </c>
      <c r="J182" s="410" t="s">
        <v>179</v>
      </c>
      <c r="K182" s="410" t="s">
        <v>73</v>
      </c>
      <c r="L182" s="410" t="s">
        <v>1027</v>
      </c>
      <c r="M182" s="410" t="s">
        <v>1322</v>
      </c>
      <c r="N182" s="410" t="s">
        <v>1323</v>
      </c>
      <c r="O182" s="38">
        <v>44197</v>
      </c>
      <c r="P182" s="38">
        <v>44561</v>
      </c>
      <c r="Q182" s="410">
        <f t="shared" si="14"/>
        <v>0</v>
      </c>
      <c r="R182" s="410">
        <v>90</v>
      </c>
      <c r="S182" s="413">
        <f t="shared" si="13"/>
        <v>90</v>
      </c>
      <c r="T182" s="410">
        <v>0</v>
      </c>
      <c r="U182" s="410">
        <v>0</v>
      </c>
      <c r="V182" s="410"/>
      <c r="W182" s="410">
        <v>0</v>
      </c>
      <c r="X182" s="410">
        <v>0</v>
      </c>
      <c r="Y182" s="410"/>
      <c r="Z182" s="410">
        <v>0</v>
      </c>
      <c r="AA182" s="51">
        <v>0</v>
      </c>
      <c r="AB182" s="51"/>
      <c r="AC182" s="410">
        <v>0</v>
      </c>
      <c r="AD182" s="30">
        <v>0</v>
      </c>
      <c r="AE182" s="51" t="s">
        <v>1681</v>
      </c>
      <c r="AF182" s="410">
        <v>0</v>
      </c>
      <c r="AG182" s="241">
        <v>0</v>
      </c>
      <c r="AH182" s="154" t="s">
        <v>1682</v>
      </c>
      <c r="AI182" s="410">
        <v>0</v>
      </c>
      <c r="AJ182" s="410">
        <v>0</v>
      </c>
      <c r="AK182" s="410" t="s">
        <v>1683</v>
      </c>
      <c r="AL182" s="410">
        <v>0</v>
      </c>
      <c r="AM182" s="410"/>
      <c r="AN182" s="410"/>
      <c r="AO182" s="410">
        <v>0</v>
      </c>
      <c r="AP182" s="410"/>
      <c r="AQ182" s="410"/>
      <c r="AR182" s="410">
        <v>0</v>
      </c>
      <c r="AS182" s="410"/>
      <c r="AT182" s="410"/>
      <c r="AU182" s="410">
        <v>0</v>
      </c>
      <c r="AV182" s="410"/>
      <c r="AW182" s="410"/>
      <c r="AX182" s="410">
        <v>0</v>
      </c>
      <c r="AY182" s="410"/>
      <c r="AZ182" s="410"/>
      <c r="BA182" s="137">
        <v>90</v>
      </c>
      <c r="BB182" s="413"/>
      <c r="BC182" s="413"/>
      <c r="BD182" s="413">
        <f t="shared" si="16"/>
        <v>0</v>
      </c>
      <c r="BE182" s="413">
        <f t="shared" si="17"/>
        <v>0</v>
      </c>
      <c r="BF182" s="48" t="str">
        <f t="shared" si="15"/>
        <v>No programación, No avance</v>
      </c>
      <c r="BG182" s="47"/>
    </row>
    <row r="183" spans="2:59" s="2" customFormat="1" ht="47.25" hidden="1" customHeight="1">
      <c r="B183" s="44" t="s">
        <v>177</v>
      </c>
      <c r="C183" s="27" t="s">
        <v>1684</v>
      </c>
      <c r="D183" s="674"/>
      <c r="E183" s="411" t="s">
        <v>178</v>
      </c>
      <c r="F183" s="411" t="s">
        <v>1685</v>
      </c>
      <c r="G183" s="411" t="s">
        <v>1686</v>
      </c>
      <c r="H183" s="411" t="s">
        <v>690</v>
      </c>
      <c r="I183" s="411">
        <v>1</v>
      </c>
      <c r="J183" s="411" t="s">
        <v>179</v>
      </c>
      <c r="K183" s="411" t="s">
        <v>217</v>
      </c>
      <c r="L183" s="411" t="s">
        <v>1027</v>
      </c>
      <c r="M183" s="411" t="s">
        <v>1322</v>
      </c>
      <c r="N183" s="411" t="s">
        <v>1323</v>
      </c>
      <c r="O183" s="42">
        <v>44197</v>
      </c>
      <c r="P183" s="42">
        <v>44561</v>
      </c>
      <c r="Q183" s="411">
        <f t="shared" si="14"/>
        <v>0</v>
      </c>
      <c r="R183" s="411">
        <v>1500</v>
      </c>
      <c r="S183" s="143">
        <f t="shared" si="13"/>
        <v>1500</v>
      </c>
      <c r="T183" s="411">
        <v>0</v>
      </c>
      <c r="U183" s="411">
        <v>0</v>
      </c>
      <c r="V183" s="411"/>
      <c r="W183" s="411">
        <v>0</v>
      </c>
      <c r="X183" s="411">
        <v>0</v>
      </c>
      <c r="Y183" s="411"/>
      <c r="Z183" s="411">
        <v>0</v>
      </c>
      <c r="AA183" s="176">
        <v>0</v>
      </c>
      <c r="AB183" s="176"/>
      <c r="AC183" s="411">
        <v>0</v>
      </c>
      <c r="AD183" s="32">
        <v>0</v>
      </c>
      <c r="AE183" s="176" t="s">
        <v>1687</v>
      </c>
      <c r="AF183" s="411">
        <v>0</v>
      </c>
      <c r="AG183" s="242">
        <v>0</v>
      </c>
      <c r="AH183" s="196" t="s">
        <v>1688</v>
      </c>
      <c r="AI183" s="411">
        <v>0</v>
      </c>
      <c r="AJ183" s="411">
        <v>0</v>
      </c>
      <c r="AK183" s="411" t="s">
        <v>1689</v>
      </c>
      <c r="AL183" s="411">
        <v>0</v>
      </c>
      <c r="AM183" s="411"/>
      <c r="AN183" s="411"/>
      <c r="AO183" s="411">
        <v>0</v>
      </c>
      <c r="AP183" s="411"/>
      <c r="AQ183" s="411"/>
      <c r="AR183" s="411">
        <v>0</v>
      </c>
      <c r="AS183" s="411"/>
      <c r="AT183" s="411"/>
      <c r="AU183" s="411">
        <v>0</v>
      </c>
      <c r="AV183" s="411"/>
      <c r="AW183" s="411"/>
      <c r="AX183" s="411">
        <v>0</v>
      </c>
      <c r="AY183" s="411"/>
      <c r="AZ183" s="411"/>
      <c r="BA183" s="192">
        <v>1500</v>
      </c>
      <c r="BB183" s="143"/>
      <c r="BC183" s="143"/>
      <c r="BD183" s="413">
        <f t="shared" si="16"/>
        <v>0</v>
      </c>
      <c r="BE183" s="413">
        <f t="shared" si="17"/>
        <v>0</v>
      </c>
      <c r="BF183" s="52" t="str">
        <f t="shared" si="15"/>
        <v>No programación, No avance</v>
      </c>
      <c r="BG183" s="47"/>
    </row>
    <row r="184" spans="2:59" s="2" customFormat="1" ht="62.25" hidden="1" customHeight="1">
      <c r="B184" s="44" t="s">
        <v>189</v>
      </c>
      <c r="C184" s="101" t="s">
        <v>1690</v>
      </c>
      <c r="D184" s="657" t="s">
        <v>1691</v>
      </c>
      <c r="E184" s="660" t="s">
        <v>190</v>
      </c>
      <c r="F184" s="660" t="s">
        <v>1692</v>
      </c>
      <c r="G184" s="416" t="s">
        <v>1693</v>
      </c>
      <c r="H184" s="416" t="s">
        <v>1694</v>
      </c>
      <c r="I184" s="416">
        <v>0.5</v>
      </c>
      <c r="J184" s="416" t="s">
        <v>426</v>
      </c>
      <c r="K184" s="416" t="s">
        <v>73</v>
      </c>
      <c r="L184" s="416" t="s">
        <v>1695</v>
      </c>
      <c r="M184" s="416" t="s">
        <v>127</v>
      </c>
      <c r="N184" s="416" t="s">
        <v>1696</v>
      </c>
      <c r="O184" s="74">
        <v>44197</v>
      </c>
      <c r="P184" s="74">
        <v>44561</v>
      </c>
      <c r="Q184" s="416">
        <f t="shared" si="14"/>
        <v>1</v>
      </c>
      <c r="R184" s="416">
        <v>1</v>
      </c>
      <c r="S184" s="141">
        <f t="shared" si="13"/>
        <v>1</v>
      </c>
      <c r="T184" s="416">
        <v>0</v>
      </c>
      <c r="U184" s="416">
        <v>0</v>
      </c>
      <c r="V184" s="416" t="s">
        <v>191</v>
      </c>
      <c r="W184" s="416">
        <v>0</v>
      </c>
      <c r="X184" s="416">
        <v>0</v>
      </c>
      <c r="Y184" s="416" t="s">
        <v>192</v>
      </c>
      <c r="Z184" s="416">
        <v>0</v>
      </c>
      <c r="AA184" s="416">
        <v>0</v>
      </c>
      <c r="AB184" s="416" t="s">
        <v>1697</v>
      </c>
      <c r="AC184" s="416">
        <v>0</v>
      </c>
      <c r="AD184" s="79">
        <v>0</v>
      </c>
      <c r="AE184" s="79" t="s">
        <v>1698</v>
      </c>
      <c r="AF184" s="416">
        <v>1</v>
      </c>
      <c r="AG184" s="245">
        <v>1</v>
      </c>
      <c r="AH184" s="197" t="s">
        <v>1699</v>
      </c>
      <c r="AI184" s="416">
        <v>0</v>
      </c>
      <c r="AJ184" s="416">
        <v>0</v>
      </c>
      <c r="AK184" s="416" t="s">
        <v>1700</v>
      </c>
      <c r="AL184" s="416">
        <v>0</v>
      </c>
      <c r="AM184" s="416"/>
      <c r="AN184" s="416"/>
      <c r="AO184" s="416">
        <v>0</v>
      </c>
      <c r="AP184" s="416"/>
      <c r="AQ184" s="416"/>
      <c r="AR184" s="416">
        <v>0</v>
      </c>
      <c r="AS184" s="416"/>
      <c r="AT184" s="416"/>
      <c r="AU184" s="416">
        <v>0</v>
      </c>
      <c r="AV184" s="416"/>
      <c r="AW184" s="416"/>
      <c r="AX184" s="416">
        <v>0</v>
      </c>
      <c r="AY184" s="416"/>
      <c r="AZ184" s="416"/>
      <c r="BA184" s="416">
        <v>0</v>
      </c>
      <c r="BB184" s="141"/>
      <c r="BC184" s="141"/>
      <c r="BD184" s="413">
        <f t="shared" si="16"/>
        <v>1</v>
      </c>
      <c r="BE184" s="413">
        <f t="shared" si="17"/>
        <v>1</v>
      </c>
      <c r="BF184" s="75">
        <f t="shared" si="15"/>
        <v>1</v>
      </c>
      <c r="BG184" s="2">
        <f>+AVERAGE(BF184:BF201)</f>
        <v>1.8486825103893183</v>
      </c>
    </row>
    <row r="185" spans="2:59" s="2" customFormat="1" ht="96.75" hidden="1" customHeight="1">
      <c r="B185" s="44" t="s">
        <v>189</v>
      </c>
      <c r="C185" s="27" t="s">
        <v>1701</v>
      </c>
      <c r="D185" s="658"/>
      <c r="E185" s="661"/>
      <c r="F185" s="661"/>
      <c r="G185" s="414" t="s">
        <v>1702</v>
      </c>
      <c r="H185" s="414" t="s">
        <v>1694</v>
      </c>
      <c r="I185" s="414">
        <v>0.3</v>
      </c>
      <c r="J185" s="414" t="s">
        <v>426</v>
      </c>
      <c r="K185" s="414" t="s">
        <v>73</v>
      </c>
      <c r="L185" s="414" t="s">
        <v>1695</v>
      </c>
      <c r="M185" s="414" t="s">
        <v>127</v>
      </c>
      <c r="N185" s="414" t="s">
        <v>1696</v>
      </c>
      <c r="O185" s="59">
        <v>44197</v>
      </c>
      <c r="P185" s="59">
        <v>44561</v>
      </c>
      <c r="Q185" s="414">
        <f t="shared" si="14"/>
        <v>0</v>
      </c>
      <c r="R185" s="414">
        <v>1</v>
      </c>
      <c r="S185" s="142">
        <f t="shared" si="13"/>
        <v>1</v>
      </c>
      <c r="T185" s="414">
        <v>0</v>
      </c>
      <c r="U185" s="414">
        <v>0</v>
      </c>
      <c r="V185" s="414" t="s">
        <v>191</v>
      </c>
      <c r="W185" s="414">
        <v>0</v>
      </c>
      <c r="X185" s="414">
        <v>0</v>
      </c>
      <c r="Y185" s="414" t="s">
        <v>192</v>
      </c>
      <c r="Z185" s="414">
        <v>0</v>
      </c>
      <c r="AA185" s="414">
        <v>0</v>
      </c>
      <c r="AB185" s="414" t="s">
        <v>1697</v>
      </c>
      <c r="AC185" s="414">
        <v>0</v>
      </c>
      <c r="AD185" s="61">
        <v>0</v>
      </c>
      <c r="AE185" s="61" t="s">
        <v>1703</v>
      </c>
      <c r="AF185" s="414">
        <v>0</v>
      </c>
      <c r="AG185" s="214">
        <v>0</v>
      </c>
      <c r="AH185" s="163" t="s">
        <v>1699</v>
      </c>
      <c r="AI185" s="414">
        <v>0</v>
      </c>
      <c r="AJ185" s="414">
        <v>0</v>
      </c>
      <c r="AK185" s="414" t="s">
        <v>1700</v>
      </c>
      <c r="AL185" s="414">
        <v>1</v>
      </c>
      <c r="AM185" s="414"/>
      <c r="AN185" s="414"/>
      <c r="AO185" s="414">
        <v>0</v>
      </c>
      <c r="AP185" s="414"/>
      <c r="AQ185" s="414"/>
      <c r="AR185" s="414">
        <v>0</v>
      </c>
      <c r="AS185" s="414"/>
      <c r="AT185" s="414"/>
      <c r="AU185" s="414">
        <v>0</v>
      </c>
      <c r="AV185" s="414"/>
      <c r="AW185" s="414"/>
      <c r="AX185" s="414">
        <v>0</v>
      </c>
      <c r="AY185" s="414"/>
      <c r="AZ185" s="414"/>
      <c r="BA185" s="414">
        <v>0</v>
      </c>
      <c r="BB185" s="142"/>
      <c r="BC185" s="142"/>
      <c r="BD185" s="413">
        <f t="shared" si="16"/>
        <v>0</v>
      </c>
      <c r="BE185" s="413">
        <f t="shared" si="17"/>
        <v>0</v>
      </c>
      <c r="BF185" s="60" t="str">
        <f t="shared" si="15"/>
        <v>No programación, No avance</v>
      </c>
    </row>
    <row r="186" spans="2:59" s="2" customFormat="1" ht="96.75" hidden="1" customHeight="1">
      <c r="B186" s="44" t="s">
        <v>189</v>
      </c>
      <c r="C186" s="27" t="s">
        <v>1704</v>
      </c>
      <c r="D186" s="658"/>
      <c r="E186" s="661"/>
      <c r="F186" s="661"/>
      <c r="G186" s="414" t="s">
        <v>1705</v>
      </c>
      <c r="H186" s="414" t="s">
        <v>1694</v>
      </c>
      <c r="I186" s="414">
        <v>0.2</v>
      </c>
      <c r="J186" s="414" t="s">
        <v>426</v>
      </c>
      <c r="K186" s="414" t="s">
        <v>73</v>
      </c>
      <c r="L186" s="414" t="s">
        <v>1695</v>
      </c>
      <c r="M186" s="414" t="s">
        <v>127</v>
      </c>
      <c r="N186" s="414" t="s">
        <v>1696</v>
      </c>
      <c r="O186" s="59">
        <v>44197</v>
      </c>
      <c r="P186" s="59">
        <v>44561</v>
      </c>
      <c r="Q186" s="414">
        <f t="shared" si="14"/>
        <v>0</v>
      </c>
      <c r="R186" s="414">
        <v>1</v>
      </c>
      <c r="S186" s="142">
        <f t="shared" si="13"/>
        <v>1</v>
      </c>
      <c r="T186" s="414">
        <v>0</v>
      </c>
      <c r="U186" s="414">
        <v>0</v>
      </c>
      <c r="V186" s="414" t="s">
        <v>191</v>
      </c>
      <c r="W186" s="414">
        <v>0</v>
      </c>
      <c r="X186" s="414">
        <v>0</v>
      </c>
      <c r="Y186" s="414" t="s">
        <v>192</v>
      </c>
      <c r="Z186" s="414">
        <v>0</v>
      </c>
      <c r="AA186" s="414">
        <v>0</v>
      </c>
      <c r="AB186" s="414" t="s">
        <v>1697</v>
      </c>
      <c r="AC186" s="414">
        <v>0</v>
      </c>
      <c r="AD186" s="61">
        <v>0</v>
      </c>
      <c r="AE186" s="61" t="s">
        <v>1706</v>
      </c>
      <c r="AF186" s="414">
        <v>0</v>
      </c>
      <c r="AG186" s="214">
        <v>0</v>
      </c>
      <c r="AH186" s="163" t="s">
        <v>1707</v>
      </c>
      <c r="AI186" s="414">
        <v>0</v>
      </c>
      <c r="AJ186" s="414">
        <v>0</v>
      </c>
      <c r="AK186" s="414" t="s">
        <v>1707</v>
      </c>
      <c r="AL186" s="414">
        <v>1</v>
      </c>
      <c r="AM186" s="414"/>
      <c r="AN186" s="414"/>
      <c r="AO186" s="414">
        <v>0</v>
      </c>
      <c r="AP186" s="414"/>
      <c r="AQ186" s="414"/>
      <c r="AR186" s="414">
        <v>0</v>
      </c>
      <c r="AS186" s="414"/>
      <c r="AT186" s="414"/>
      <c r="AU186" s="414">
        <v>0</v>
      </c>
      <c r="AV186" s="414"/>
      <c r="AW186" s="414"/>
      <c r="AX186" s="414">
        <v>0</v>
      </c>
      <c r="AY186" s="414"/>
      <c r="AZ186" s="414"/>
      <c r="BA186" s="414">
        <v>0</v>
      </c>
      <c r="BB186" s="142"/>
      <c r="BC186" s="142"/>
      <c r="BD186" s="413">
        <f t="shared" si="16"/>
        <v>0</v>
      </c>
      <c r="BE186" s="413">
        <f t="shared" si="17"/>
        <v>0</v>
      </c>
      <c r="BF186" s="60" t="str">
        <f t="shared" si="15"/>
        <v>No programación, No avance</v>
      </c>
    </row>
    <row r="187" spans="2:59" s="2" customFormat="1" ht="96.75" hidden="1" customHeight="1">
      <c r="B187" s="44" t="s">
        <v>193</v>
      </c>
      <c r="C187" s="27" t="s">
        <v>1708</v>
      </c>
      <c r="D187" s="658"/>
      <c r="E187" s="661" t="s">
        <v>194</v>
      </c>
      <c r="F187" s="661" t="s">
        <v>1709</v>
      </c>
      <c r="G187" s="414" t="s">
        <v>1710</v>
      </c>
      <c r="H187" s="414" t="s">
        <v>472</v>
      </c>
      <c r="I187" s="414">
        <v>0.3</v>
      </c>
      <c r="J187" s="414" t="s">
        <v>426</v>
      </c>
      <c r="K187" s="414" t="s">
        <v>73</v>
      </c>
      <c r="L187" s="414" t="s">
        <v>1695</v>
      </c>
      <c r="M187" s="414" t="s">
        <v>127</v>
      </c>
      <c r="N187" s="414" t="s">
        <v>426</v>
      </c>
      <c r="O187" s="59">
        <v>44197</v>
      </c>
      <c r="P187" s="59">
        <v>44561</v>
      </c>
      <c r="Q187" s="414">
        <f t="shared" si="14"/>
        <v>1</v>
      </c>
      <c r="R187" s="414">
        <v>1</v>
      </c>
      <c r="S187" s="142">
        <f t="shared" si="13"/>
        <v>1</v>
      </c>
      <c r="T187" s="414">
        <v>1</v>
      </c>
      <c r="U187" s="414">
        <v>0</v>
      </c>
      <c r="V187" s="414" t="s">
        <v>195</v>
      </c>
      <c r="W187" s="414">
        <v>0</v>
      </c>
      <c r="X187" s="414">
        <v>0</v>
      </c>
      <c r="Y187" s="414" t="s">
        <v>1711</v>
      </c>
      <c r="Z187" s="414">
        <v>0</v>
      </c>
      <c r="AA187" s="414">
        <v>0</v>
      </c>
      <c r="AB187" s="414" t="s">
        <v>1712</v>
      </c>
      <c r="AC187" s="414">
        <v>0</v>
      </c>
      <c r="AD187" s="61">
        <v>1</v>
      </c>
      <c r="AE187" s="61" t="s">
        <v>1713</v>
      </c>
      <c r="AF187" s="414">
        <v>0</v>
      </c>
      <c r="AG187" s="214">
        <v>0</v>
      </c>
      <c r="AH187" s="180" t="s">
        <v>1714</v>
      </c>
      <c r="AI187" s="414">
        <v>0</v>
      </c>
      <c r="AJ187" s="414">
        <v>0</v>
      </c>
      <c r="AK187" s="414" t="s">
        <v>1715</v>
      </c>
      <c r="AL187" s="414">
        <v>0</v>
      </c>
      <c r="AM187" s="414"/>
      <c r="AN187" s="414"/>
      <c r="AO187" s="414">
        <v>0</v>
      </c>
      <c r="AP187" s="414"/>
      <c r="AQ187" s="414"/>
      <c r="AR187" s="414">
        <v>0</v>
      </c>
      <c r="AS187" s="414"/>
      <c r="AT187" s="414"/>
      <c r="AU187" s="414">
        <v>0</v>
      </c>
      <c r="AV187" s="414"/>
      <c r="AW187" s="414"/>
      <c r="AX187" s="414">
        <v>0</v>
      </c>
      <c r="AY187" s="414"/>
      <c r="AZ187" s="414"/>
      <c r="BA187" s="414">
        <v>0</v>
      </c>
      <c r="BB187" s="142"/>
      <c r="BC187" s="142"/>
      <c r="BD187" s="413">
        <f t="shared" si="16"/>
        <v>1</v>
      </c>
      <c r="BE187" s="413">
        <f t="shared" si="17"/>
        <v>1</v>
      </c>
      <c r="BF187" s="60">
        <f t="shared" si="15"/>
        <v>1</v>
      </c>
    </row>
    <row r="188" spans="2:59" s="2" customFormat="1" ht="96.75" hidden="1" customHeight="1">
      <c r="B188" s="44" t="s">
        <v>193</v>
      </c>
      <c r="C188" s="27" t="s">
        <v>1716</v>
      </c>
      <c r="D188" s="658"/>
      <c r="E188" s="661"/>
      <c r="F188" s="661"/>
      <c r="G188" s="414" t="s">
        <v>1717</v>
      </c>
      <c r="H188" s="414" t="s">
        <v>472</v>
      </c>
      <c r="I188" s="414">
        <v>0.4</v>
      </c>
      <c r="J188" s="414" t="s">
        <v>426</v>
      </c>
      <c r="K188" s="414" t="s">
        <v>73</v>
      </c>
      <c r="L188" s="414" t="s">
        <v>1695</v>
      </c>
      <c r="M188" s="414" t="s">
        <v>127</v>
      </c>
      <c r="N188" s="414" t="s">
        <v>426</v>
      </c>
      <c r="O188" s="59">
        <v>44197</v>
      </c>
      <c r="P188" s="59">
        <v>44561</v>
      </c>
      <c r="Q188" s="414">
        <f t="shared" si="14"/>
        <v>1</v>
      </c>
      <c r="R188" s="414">
        <v>1</v>
      </c>
      <c r="S188" s="142">
        <f t="shared" si="13"/>
        <v>1</v>
      </c>
      <c r="T188" s="414">
        <v>0</v>
      </c>
      <c r="U188" s="414">
        <v>0</v>
      </c>
      <c r="V188" s="414" t="s">
        <v>195</v>
      </c>
      <c r="W188" s="63">
        <v>1</v>
      </c>
      <c r="X188" s="414">
        <v>0</v>
      </c>
      <c r="Y188" s="414" t="s">
        <v>1711</v>
      </c>
      <c r="Z188" s="414">
        <v>0</v>
      </c>
      <c r="AA188" s="414">
        <v>0</v>
      </c>
      <c r="AB188" s="414" t="s">
        <v>1712</v>
      </c>
      <c r="AC188" s="414">
        <v>0</v>
      </c>
      <c r="AD188" s="61">
        <v>1</v>
      </c>
      <c r="AE188" s="61" t="s">
        <v>1713</v>
      </c>
      <c r="AF188" s="414">
        <v>0</v>
      </c>
      <c r="AG188" s="214">
        <v>0</v>
      </c>
      <c r="AH188" s="180" t="s">
        <v>1714</v>
      </c>
      <c r="AI188" s="414">
        <v>0</v>
      </c>
      <c r="AJ188" s="414">
        <v>0</v>
      </c>
      <c r="AK188" s="414" t="s">
        <v>1715</v>
      </c>
      <c r="AL188" s="414">
        <v>0</v>
      </c>
      <c r="AM188" s="414"/>
      <c r="AN188" s="414"/>
      <c r="AO188" s="414">
        <v>0</v>
      </c>
      <c r="AP188" s="414"/>
      <c r="AQ188" s="414"/>
      <c r="AR188" s="414">
        <v>0</v>
      </c>
      <c r="AS188" s="414"/>
      <c r="AT188" s="414"/>
      <c r="AU188" s="414">
        <v>0</v>
      </c>
      <c r="AV188" s="414"/>
      <c r="AW188" s="414"/>
      <c r="AX188" s="414">
        <v>0</v>
      </c>
      <c r="AY188" s="414"/>
      <c r="AZ188" s="414"/>
      <c r="BA188" s="414">
        <v>0</v>
      </c>
      <c r="BB188" s="142"/>
      <c r="BC188" s="142"/>
      <c r="BD188" s="413">
        <f t="shared" si="16"/>
        <v>1</v>
      </c>
      <c r="BE188" s="413">
        <f t="shared" si="17"/>
        <v>1</v>
      </c>
      <c r="BF188" s="60">
        <f t="shared" si="15"/>
        <v>1</v>
      </c>
    </row>
    <row r="189" spans="2:59" s="2" customFormat="1" ht="96.75" hidden="1" customHeight="1">
      <c r="B189" s="44" t="s">
        <v>193</v>
      </c>
      <c r="C189" s="27" t="s">
        <v>1718</v>
      </c>
      <c r="D189" s="658"/>
      <c r="E189" s="661"/>
      <c r="F189" s="661"/>
      <c r="G189" s="414" t="s">
        <v>1719</v>
      </c>
      <c r="H189" s="414" t="s">
        <v>472</v>
      </c>
      <c r="I189" s="414">
        <v>0.1</v>
      </c>
      <c r="J189" s="414" t="s">
        <v>426</v>
      </c>
      <c r="K189" s="414" t="s">
        <v>73</v>
      </c>
      <c r="L189" s="414" t="s">
        <v>1695</v>
      </c>
      <c r="M189" s="414" t="s">
        <v>127</v>
      </c>
      <c r="N189" s="414" t="s">
        <v>426</v>
      </c>
      <c r="O189" s="59">
        <v>44197</v>
      </c>
      <c r="P189" s="59">
        <v>44561</v>
      </c>
      <c r="Q189" s="414">
        <f t="shared" si="14"/>
        <v>1</v>
      </c>
      <c r="R189" s="414">
        <v>1</v>
      </c>
      <c r="S189" s="142">
        <f t="shared" si="13"/>
        <v>1</v>
      </c>
      <c r="T189" s="414">
        <v>0</v>
      </c>
      <c r="U189" s="414">
        <v>0</v>
      </c>
      <c r="V189" s="414" t="s">
        <v>1720</v>
      </c>
      <c r="W189" s="63">
        <v>1</v>
      </c>
      <c r="X189" s="414">
        <v>0</v>
      </c>
      <c r="Y189" s="414" t="s">
        <v>1721</v>
      </c>
      <c r="Z189" s="414">
        <v>0</v>
      </c>
      <c r="AA189" s="414">
        <v>0</v>
      </c>
      <c r="AB189" s="414" t="s">
        <v>1722</v>
      </c>
      <c r="AC189" s="414">
        <v>0</v>
      </c>
      <c r="AD189" s="62">
        <v>1</v>
      </c>
      <c r="AE189" s="61" t="s">
        <v>196</v>
      </c>
      <c r="AF189" s="414">
        <v>0</v>
      </c>
      <c r="AG189" s="214">
        <v>0</v>
      </c>
      <c r="AH189" s="163" t="s">
        <v>1723</v>
      </c>
      <c r="AI189" s="414">
        <v>0</v>
      </c>
      <c r="AJ189" s="414">
        <v>0</v>
      </c>
      <c r="AK189" s="414" t="s">
        <v>1715</v>
      </c>
      <c r="AL189" s="414">
        <v>0</v>
      </c>
      <c r="AM189" s="414"/>
      <c r="AN189" s="414"/>
      <c r="AO189" s="414">
        <v>0</v>
      </c>
      <c r="AP189" s="414"/>
      <c r="AQ189" s="414"/>
      <c r="AR189" s="414">
        <v>0</v>
      </c>
      <c r="AS189" s="414"/>
      <c r="AT189" s="414"/>
      <c r="AU189" s="414">
        <v>0</v>
      </c>
      <c r="AV189" s="414"/>
      <c r="AW189" s="414"/>
      <c r="AX189" s="414">
        <v>0</v>
      </c>
      <c r="AY189" s="414"/>
      <c r="AZ189" s="414"/>
      <c r="BA189" s="414">
        <v>0</v>
      </c>
      <c r="BB189" s="142"/>
      <c r="BC189" s="142"/>
      <c r="BD189" s="413">
        <f t="shared" si="16"/>
        <v>1</v>
      </c>
      <c r="BE189" s="413">
        <f t="shared" si="17"/>
        <v>1</v>
      </c>
      <c r="BF189" s="60">
        <f t="shared" si="15"/>
        <v>1</v>
      </c>
    </row>
    <row r="190" spans="2:59" s="2" customFormat="1" ht="96.75" hidden="1" customHeight="1">
      <c r="B190" s="44" t="s">
        <v>193</v>
      </c>
      <c r="C190" s="27" t="s">
        <v>1724</v>
      </c>
      <c r="D190" s="658"/>
      <c r="E190" s="661"/>
      <c r="F190" s="661"/>
      <c r="G190" s="414" t="s">
        <v>1725</v>
      </c>
      <c r="H190" s="414" t="s">
        <v>1694</v>
      </c>
      <c r="I190" s="414">
        <v>0.2</v>
      </c>
      <c r="J190" s="414" t="s">
        <v>426</v>
      </c>
      <c r="K190" s="414" t="s">
        <v>73</v>
      </c>
      <c r="L190" s="414" t="s">
        <v>1695</v>
      </c>
      <c r="M190" s="414" t="s">
        <v>127</v>
      </c>
      <c r="N190" s="414" t="s">
        <v>426</v>
      </c>
      <c r="O190" s="59">
        <v>44197</v>
      </c>
      <c r="P190" s="59">
        <v>44561</v>
      </c>
      <c r="Q190" s="414">
        <f t="shared" si="14"/>
        <v>1</v>
      </c>
      <c r="R190" s="414">
        <v>1</v>
      </c>
      <c r="S190" s="142">
        <f t="shared" si="13"/>
        <v>1</v>
      </c>
      <c r="T190" s="414">
        <v>0</v>
      </c>
      <c r="U190" s="414">
        <v>0</v>
      </c>
      <c r="V190" s="414" t="s">
        <v>1726</v>
      </c>
      <c r="W190" s="414">
        <v>0</v>
      </c>
      <c r="X190" s="414">
        <v>0</v>
      </c>
      <c r="Y190" s="414" t="s">
        <v>1727</v>
      </c>
      <c r="Z190" s="63">
        <v>1</v>
      </c>
      <c r="AA190" s="414">
        <v>0</v>
      </c>
      <c r="AB190" s="414" t="s">
        <v>1728</v>
      </c>
      <c r="AC190" s="414">
        <v>0</v>
      </c>
      <c r="AD190" s="61">
        <v>0</v>
      </c>
      <c r="AE190" s="61" t="s">
        <v>1729</v>
      </c>
      <c r="AF190" s="414">
        <v>0</v>
      </c>
      <c r="AG190" s="214">
        <v>1</v>
      </c>
      <c r="AH190" s="163" t="s">
        <v>1730</v>
      </c>
      <c r="AI190" s="414">
        <v>0</v>
      </c>
      <c r="AJ190" s="414">
        <v>0</v>
      </c>
      <c r="AK190" s="414" t="s">
        <v>1715</v>
      </c>
      <c r="AL190" s="414">
        <v>0</v>
      </c>
      <c r="AM190" s="414"/>
      <c r="AN190" s="414"/>
      <c r="AO190" s="414">
        <v>0</v>
      </c>
      <c r="AP190" s="414"/>
      <c r="AQ190" s="414"/>
      <c r="AR190" s="414">
        <v>0</v>
      </c>
      <c r="AS190" s="414"/>
      <c r="AT190" s="414"/>
      <c r="AU190" s="414">
        <v>0</v>
      </c>
      <c r="AV190" s="414"/>
      <c r="AW190" s="414"/>
      <c r="AX190" s="414">
        <v>0</v>
      </c>
      <c r="AY190" s="414"/>
      <c r="AZ190" s="414"/>
      <c r="BA190" s="414">
        <v>0</v>
      </c>
      <c r="BB190" s="142"/>
      <c r="BC190" s="142"/>
      <c r="BD190" s="413">
        <f t="shared" si="16"/>
        <v>1</v>
      </c>
      <c r="BE190" s="413">
        <f t="shared" si="17"/>
        <v>1</v>
      </c>
      <c r="BF190" s="60">
        <f t="shared" si="15"/>
        <v>1</v>
      </c>
    </row>
    <row r="191" spans="2:59" s="2" customFormat="1" ht="96.75" hidden="1" customHeight="1">
      <c r="B191" s="44" t="s">
        <v>197</v>
      </c>
      <c r="C191" s="27" t="s">
        <v>1731</v>
      </c>
      <c r="D191" s="658"/>
      <c r="E191" s="414" t="s">
        <v>194</v>
      </c>
      <c r="F191" s="414" t="s">
        <v>1732</v>
      </c>
      <c r="G191" s="414" t="s">
        <v>1733</v>
      </c>
      <c r="H191" s="414" t="s">
        <v>1694</v>
      </c>
      <c r="I191" s="414">
        <v>1</v>
      </c>
      <c r="J191" s="414" t="s">
        <v>426</v>
      </c>
      <c r="K191" s="414" t="s">
        <v>73</v>
      </c>
      <c r="L191" s="414" t="s">
        <v>1695</v>
      </c>
      <c r="M191" s="414" t="s">
        <v>127</v>
      </c>
      <c r="N191" s="414" t="s">
        <v>1696</v>
      </c>
      <c r="O191" s="59">
        <v>44197</v>
      </c>
      <c r="P191" s="59">
        <v>44561</v>
      </c>
      <c r="Q191" s="414">
        <f t="shared" si="14"/>
        <v>0</v>
      </c>
      <c r="R191" s="414">
        <v>10</v>
      </c>
      <c r="S191" s="142">
        <f t="shared" si="13"/>
        <v>7</v>
      </c>
      <c r="T191" s="414">
        <v>0</v>
      </c>
      <c r="U191" s="414">
        <v>0</v>
      </c>
      <c r="V191" s="414" t="s">
        <v>198</v>
      </c>
      <c r="W191" s="414">
        <v>0</v>
      </c>
      <c r="X191" s="414">
        <v>0</v>
      </c>
      <c r="Y191" s="319" t="s">
        <v>1734</v>
      </c>
      <c r="Z191" s="414">
        <v>0</v>
      </c>
      <c r="AA191" s="414">
        <v>0</v>
      </c>
      <c r="AB191" s="414" t="s">
        <v>1735</v>
      </c>
      <c r="AC191" s="414">
        <v>0</v>
      </c>
      <c r="AD191" s="61">
        <v>0</v>
      </c>
      <c r="AE191" s="61" t="s">
        <v>1736</v>
      </c>
      <c r="AF191" s="414">
        <v>0</v>
      </c>
      <c r="AG191" s="214">
        <v>0</v>
      </c>
      <c r="AH191" s="163" t="s">
        <v>1737</v>
      </c>
      <c r="AI191" s="414">
        <v>0</v>
      </c>
      <c r="AJ191" s="414">
        <v>0</v>
      </c>
      <c r="AK191" s="414" t="s">
        <v>1738</v>
      </c>
      <c r="AL191" s="414">
        <v>3</v>
      </c>
      <c r="AM191" s="414"/>
      <c r="AN191" s="414"/>
      <c r="AO191" s="414">
        <v>0</v>
      </c>
      <c r="AP191" s="414"/>
      <c r="AQ191" s="414"/>
      <c r="AR191" s="414">
        <v>0</v>
      </c>
      <c r="AS191" s="414"/>
      <c r="AT191" s="414"/>
      <c r="AU191" s="414">
        <v>3</v>
      </c>
      <c r="AV191" s="414"/>
      <c r="AW191" s="414"/>
      <c r="AX191" s="414">
        <v>0</v>
      </c>
      <c r="AY191" s="414"/>
      <c r="AZ191" s="414"/>
      <c r="BA191" s="414">
        <v>1</v>
      </c>
      <c r="BB191" s="142"/>
      <c r="BC191" s="142"/>
      <c r="BD191" s="413">
        <f t="shared" si="16"/>
        <v>0</v>
      </c>
      <c r="BE191" s="413">
        <f t="shared" si="17"/>
        <v>0</v>
      </c>
      <c r="BF191" s="60" t="str">
        <f t="shared" si="15"/>
        <v>No programación, No avance</v>
      </c>
    </row>
    <row r="192" spans="2:59" s="2" customFormat="1" ht="96.75" hidden="1" customHeight="1">
      <c r="B192" s="44" t="s">
        <v>199</v>
      </c>
      <c r="C192" s="27" t="s">
        <v>1739</v>
      </c>
      <c r="D192" s="658"/>
      <c r="E192" s="661" t="s">
        <v>200</v>
      </c>
      <c r="F192" s="661" t="s">
        <v>1740</v>
      </c>
      <c r="G192" s="414" t="s">
        <v>1741</v>
      </c>
      <c r="H192" s="414" t="s">
        <v>1694</v>
      </c>
      <c r="I192" s="414">
        <v>0.8</v>
      </c>
      <c r="J192" s="414" t="s">
        <v>426</v>
      </c>
      <c r="K192" s="414" t="s">
        <v>73</v>
      </c>
      <c r="L192" s="414" t="s">
        <v>1695</v>
      </c>
      <c r="M192" s="414" t="s">
        <v>127</v>
      </c>
      <c r="N192" s="414" t="s">
        <v>1696</v>
      </c>
      <c r="O192" s="59">
        <v>44197</v>
      </c>
      <c r="P192" s="59">
        <v>44561</v>
      </c>
      <c r="Q192" s="414">
        <f t="shared" si="14"/>
        <v>0.12</v>
      </c>
      <c r="R192" s="414">
        <v>50</v>
      </c>
      <c r="S192" s="142">
        <f t="shared" si="13"/>
        <v>54.24</v>
      </c>
      <c r="T192" s="414">
        <v>0</v>
      </c>
      <c r="U192" s="414">
        <v>0</v>
      </c>
      <c r="V192" s="414" t="s">
        <v>201</v>
      </c>
      <c r="W192" s="414">
        <v>0</v>
      </c>
      <c r="X192" s="414">
        <v>0</v>
      </c>
      <c r="Y192" s="319" t="s">
        <v>1742</v>
      </c>
      <c r="Z192" s="414">
        <v>0</v>
      </c>
      <c r="AA192" s="414">
        <v>0</v>
      </c>
      <c r="AB192" s="414" t="s">
        <v>1743</v>
      </c>
      <c r="AC192" s="414">
        <v>0</v>
      </c>
      <c r="AD192" s="61">
        <v>0</v>
      </c>
      <c r="AE192" s="61" t="s">
        <v>1744</v>
      </c>
      <c r="AF192" s="414">
        <f>6/R192</f>
        <v>0.12</v>
      </c>
      <c r="AG192" s="214">
        <f>+(1/6)*AF192</f>
        <v>1.9999999999999997E-2</v>
      </c>
      <c r="AH192" s="163" t="s">
        <v>1745</v>
      </c>
      <c r="AI192" s="414">
        <f>6/R192</f>
        <v>0.12</v>
      </c>
      <c r="AJ192" s="414">
        <f>+(5/6)*AI192</f>
        <v>0.1</v>
      </c>
      <c r="AK192" s="414" t="s">
        <v>1746</v>
      </c>
      <c r="AL192" s="414">
        <v>8</v>
      </c>
      <c r="AM192" s="414"/>
      <c r="AN192" s="414"/>
      <c r="AO192" s="414">
        <v>8</v>
      </c>
      <c r="AP192" s="414"/>
      <c r="AQ192" s="414"/>
      <c r="AR192" s="414">
        <v>8</v>
      </c>
      <c r="AS192" s="414"/>
      <c r="AT192" s="414"/>
      <c r="AU192" s="414">
        <v>10</v>
      </c>
      <c r="AV192" s="414"/>
      <c r="AW192" s="414"/>
      <c r="AX192" s="414">
        <v>10</v>
      </c>
      <c r="AY192" s="414"/>
      <c r="AZ192" s="414"/>
      <c r="BA192" s="414">
        <v>10</v>
      </c>
      <c r="BB192" s="142"/>
      <c r="BC192" s="142"/>
      <c r="BD192" s="413">
        <f t="shared" si="16"/>
        <v>0.24</v>
      </c>
      <c r="BE192" s="413">
        <f t="shared" si="17"/>
        <v>0.12</v>
      </c>
      <c r="BF192" s="60">
        <f t="shared" si="15"/>
        <v>0.5</v>
      </c>
    </row>
    <row r="193" spans="2:59" s="2" customFormat="1" ht="96.75" customHeight="1">
      <c r="B193" s="44" t="s">
        <v>199</v>
      </c>
      <c r="C193" s="27" t="s">
        <v>1747</v>
      </c>
      <c r="D193" s="658"/>
      <c r="E193" s="661"/>
      <c r="F193" s="661"/>
      <c r="G193" s="414" t="s">
        <v>1748</v>
      </c>
      <c r="H193" s="414" t="s">
        <v>1694</v>
      </c>
      <c r="I193" s="414">
        <v>0.2</v>
      </c>
      <c r="J193" s="414" t="s">
        <v>426</v>
      </c>
      <c r="K193" s="414" t="s">
        <v>73</v>
      </c>
      <c r="L193" s="414" t="s">
        <v>1695</v>
      </c>
      <c r="M193" s="414" t="s">
        <v>127</v>
      </c>
      <c r="N193" s="414" t="s">
        <v>1696</v>
      </c>
      <c r="O193" s="59">
        <v>44197</v>
      </c>
      <c r="P193" s="59">
        <v>44561</v>
      </c>
      <c r="Q193" s="414">
        <f t="shared" si="14"/>
        <v>1.1200000000000001</v>
      </c>
      <c r="R193" s="414">
        <v>25</v>
      </c>
      <c r="S193" s="142">
        <f t="shared" si="13"/>
        <v>0.24</v>
      </c>
      <c r="T193" s="414">
        <v>0</v>
      </c>
      <c r="U193" s="414">
        <v>0</v>
      </c>
      <c r="V193" s="414" t="s">
        <v>201</v>
      </c>
      <c r="W193" s="414">
        <v>0</v>
      </c>
      <c r="X193" s="414">
        <v>0</v>
      </c>
      <c r="Y193" s="319" t="s">
        <v>1742</v>
      </c>
      <c r="Z193" s="414">
        <v>0</v>
      </c>
      <c r="AA193" s="414">
        <v>0</v>
      </c>
      <c r="AB193" s="414" t="s">
        <v>1749</v>
      </c>
      <c r="AC193" s="414">
        <f>6/R193</f>
        <v>0.24</v>
      </c>
      <c r="AD193" s="61">
        <f>+(14/6)*AC193</f>
        <v>0.56000000000000005</v>
      </c>
      <c r="AE193" s="318" t="s">
        <v>1750</v>
      </c>
      <c r="AF193" s="414">
        <v>0</v>
      </c>
      <c r="AG193" s="214">
        <f>8/R193</f>
        <v>0.32</v>
      </c>
      <c r="AH193" s="180" t="s">
        <v>1751</v>
      </c>
      <c r="AI193" s="414">
        <v>0</v>
      </c>
      <c r="AJ193" s="414">
        <f>6/R193</f>
        <v>0.24</v>
      </c>
      <c r="AK193" s="414" t="s">
        <v>1752</v>
      </c>
      <c r="AL193" s="414">
        <v>0</v>
      </c>
      <c r="AM193" s="414"/>
      <c r="AN193" s="414"/>
      <c r="AO193" s="414">
        <v>0</v>
      </c>
      <c r="AP193" s="414"/>
      <c r="AQ193" s="414"/>
      <c r="AR193" s="414">
        <v>0</v>
      </c>
      <c r="AS193" s="414"/>
      <c r="AT193" s="414"/>
      <c r="AU193" s="414">
        <v>0</v>
      </c>
      <c r="AV193" s="414"/>
      <c r="AW193" s="414"/>
      <c r="AX193" s="414">
        <v>0</v>
      </c>
      <c r="AY193" s="414"/>
      <c r="AZ193" s="414"/>
      <c r="BA193" s="414">
        <v>0</v>
      </c>
      <c r="BB193" s="142"/>
      <c r="BC193" s="142"/>
      <c r="BD193" s="413">
        <f t="shared" si="16"/>
        <v>0.24</v>
      </c>
      <c r="BE193" s="413">
        <f t="shared" si="17"/>
        <v>1.1200000000000001</v>
      </c>
      <c r="BF193" s="60">
        <f t="shared" si="15"/>
        <v>4.666666666666667</v>
      </c>
    </row>
    <row r="194" spans="2:59" s="2" customFormat="1" ht="96.75" customHeight="1">
      <c r="B194" s="44" t="s">
        <v>202</v>
      </c>
      <c r="C194" s="27" t="s">
        <v>1753</v>
      </c>
      <c r="D194" s="658"/>
      <c r="E194" s="414" t="s">
        <v>203</v>
      </c>
      <c r="F194" s="414" t="s">
        <v>1754</v>
      </c>
      <c r="G194" s="137" t="s">
        <v>1755</v>
      </c>
      <c r="H194" s="414" t="s">
        <v>1694</v>
      </c>
      <c r="I194" s="414">
        <v>1</v>
      </c>
      <c r="J194" s="414" t="s">
        <v>426</v>
      </c>
      <c r="K194" s="414" t="s">
        <v>73</v>
      </c>
      <c r="L194" s="414" t="s">
        <v>1695</v>
      </c>
      <c r="M194" s="414" t="s">
        <v>127</v>
      </c>
      <c r="N194" s="414" t="s">
        <v>1696</v>
      </c>
      <c r="O194" s="59">
        <v>44197</v>
      </c>
      <c r="P194" s="59">
        <v>44561</v>
      </c>
      <c r="Q194" s="414">
        <f t="shared" si="14"/>
        <v>1.233822603624797</v>
      </c>
      <c r="R194" s="414">
        <v>30181</v>
      </c>
      <c r="S194" s="142">
        <f t="shared" si="13"/>
        <v>0.35439514926609456</v>
      </c>
      <c r="T194" s="414">
        <v>0</v>
      </c>
      <c r="U194" s="414">
        <f>1694/R194</f>
        <v>5.6128027567012358E-2</v>
      </c>
      <c r="V194" s="414" t="s">
        <v>204</v>
      </c>
      <c r="W194" s="414">
        <f>5181/R194</f>
        <v>0.17166429210430403</v>
      </c>
      <c r="X194" s="414">
        <f>+(1694/5181)*W194</f>
        <v>5.6128027567012358E-2</v>
      </c>
      <c r="Y194" s="414" t="s">
        <v>205</v>
      </c>
      <c r="Z194" s="414">
        <v>0</v>
      </c>
      <c r="AA194" s="414">
        <v>0</v>
      </c>
      <c r="AB194" s="414" t="s">
        <v>1756</v>
      </c>
      <c r="AC194" s="414">
        <v>0</v>
      </c>
      <c r="AD194" s="61">
        <v>0</v>
      </c>
      <c r="AE194" s="318" t="s">
        <v>206</v>
      </c>
      <c r="AF194" s="414">
        <f>2141/R194</f>
        <v>7.0938670024187397E-2</v>
      </c>
      <c r="AG194" s="214">
        <f>+(22591/2141)*AF194</f>
        <v>0.74851727908286669</v>
      </c>
      <c r="AH194" s="163" t="s">
        <v>1757</v>
      </c>
      <c r="AI194" s="414">
        <f>3374/R194</f>
        <v>0.11179218713760312</v>
      </c>
      <c r="AJ194" s="414">
        <f>+(11259/3374)*AI194</f>
        <v>0.37304926940790561</v>
      </c>
      <c r="AK194" s="414" t="s">
        <v>1758</v>
      </c>
      <c r="AL194" s="414">
        <v>0</v>
      </c>
      <c r="AM194" s="414"/>
      <c r="AN194" s="414"/>
      <c r="AO194" s="414">
        <v>0</v>
      </c>
      <c r="AP194" s="414"/>
      <c r="AQ194" s="414"/>
      <c r="AR194" s="414">
        <v>0</v>
      </c>
      <c r="AS194" s="414"/>
      <c r="AT194" s="414"/>
      <c r="AU194" s="414">
        <v>0</v>
      </c>
      <c r="AV194" s="414"/>
      <c r="AW194" s="414"/>
      <c r="AX194" s="414">
        <v>0</v>
      </c>
      <c r="AY194" s="414"/>
      <c r="AZ194" s="414"/>
      <c r="BA194" s="414">
        <v>0</v>
      </c>
      <c r="BB194" s="142"/>
      <c r="BC194" s="142"/>
      <c r="BD194" s="413">
        <f t="shared" si="16"/>
        <v>0.35439514926609456</v>
      </c>
      <c r="BE194" s="413">
        <f t="shared" si="17"/>
        <v>1.233822603624797</v>
      </c>
      <c r="BF194" s="60">
        <f t="shared" si="15"/>
        <v>3.481488406881077</v>
      </c>
    </row>
    <row r="195" spans="2:59" s="2" customFormat="1" ht="96.75" hidden="1" customHeight="1">
      <c r="B195" s="44"/>
      <c r="C195" s="27"/>
      <c r="D195" s="658"/>
      <c r="E195" s="414" t="s">
        <v>203</v>
      </c>
      <c r="F195" s="414" t="s">
        <v>207</v>
      </c>
      <c r="G195" s="137" t="s">
        <v>1759</v>
      </c>
      <c r="H195" s="414" t="s">
        <v>1694</v>
      </c>
      <c r="I195" s="414">
        <v>1</v>
      </c>
      <c r="J195" s="414"/>
      <c r="K195" s="414" t="s">
        <v>73</v>
      </c>
      <c r="L195" s="414" t="s">
        <v>1695</v>
      </c>
      <c r="M195" s="414" t="s">
        <v>127</v>
      </c>
      <c r="N195" s="414" t="s">
        <v>1696</v>
      </c>
      <c r="O195" s="59">
        <v>44197</v>
      </c>
      <c r="P195" s="59">
        <v>44561</v>
      </c>
      <c r="Q195" s="414"/>
      <c r="R195" s="414">
        <v>16000</v>
      </c>
      <c r="S195" s="142">
        <f t="shared" si="13"/>
        <v>23478.475375000002</v>
      </c>
      <c r="T195" s="414">
        <v>0</v>
      </c>
      <c r="U195" s="414">
        <v>0</v>
      </c>
      <c r="V195" s="414" t="s">
        <v>208</v>
      </c>
      <c r="W195" s="414">
        <f>1516/R195</f>
        <v>9.4750000000000001E-2</v>
      </c>
      <c r="X195" s="414">
        <f>+(1608/1516)*W195</f>
        <v>0.10050000000000001</v>
      </c>
      <c r="Y195" s="319" t="s">
        <v>209</v>
      </c>
      <c r="Z195" s="414">
        <f>1321/R195</f>
        <v>8.2562499999999997E-2</v>
      </c>
      <c r="AA195" s="414">
        <f>+(1109/1321)*Z195</f>
        <v>6.9312499999999999E-2</v>
      </c>
      <c r="AB195" s="414" t="s">
        <v>1760</v>
      </c>
      <c r="AC195" s="414">
        <f>1933/R195</f>
        <v>0.1208125</v>
      </c>
      <c r="AD195" s="61">
        <f>+(1712/1933)*AC195</f>
        <v>0.107</v>
      </c>
      <c r="AE195" s="61" t="s">
        <v>210</v>
      </c>
      <c r="AF195" s="414">
        <f>1745/R195</f>
        <v>0.10906250000000001</v>
      </c>
      <c r="AG195" s="214">
        <f>+(1566/1745)*AF195</f>
        <v>9.7875000000000004E-2</v>
      </c>
      <c r="AH195" s="180" t="s">
        <v>1761</v>
      </c>
      <c r="AI195" s="414">
        <f>1091/R195</f>
        <v>6.8187499999999998E-2</v>
      </c>
      <c r="AJ195" s="414">
        <f>+(896/1091)*AI195</f>
        <v>5.6000000000000001E-2</v>
      </c>
      <c r="AK195" s="414" t="s">
        <v>1762</v>
      </c>
      <c r="AL195" s="414">
        <v>1076</v>
      </c>
      <c r="AM195" s="414"/>
      <c r="AN195" s="414"/>
      <c r="AO195" s="414">
        <v>2222</v>
      </c>
      <c r="AP195" s="414"/>
      <c r="AQ195" s="414"/>
      <c r="AR195" s="414">
        <v>2754</v>
      </c>
      <c r="AS195" s="414"/>
      <c r="AT195" s="414"/>
      <c r="AU195" s="414">
        <v>2942</v>
      </c>
      <c r="AV195" s="414"/>
      <c r="AW195" s="414"/>
      <c r="AX195" s="414">
        <v>0</v>
      </c>
      <c r="AY195" s="414"/>
      <c r="AZ195" s="414"/>
      <c r="BA195" s="414">
        <v>14484</v>
      </c>
      <c r="BB195" s="142"/>
      <c r="BC195" s="142"/>
      <c r="BD195" s="413">
        <f t="shared" si="16"/>
        <v>0.47537499999999999</v>
      </c>
      <c r="BE195" s="413">
        <f t="shared" si="17"/>
        <v>0.4306875</v>
      </c>
      <c r="BF195" s="60">
        <f t="shared" si="15"/>
        <v>0.90599526689455689</v>
      </c>
    </row>
    <row r="196" spans="2:59" s="2" customFormat="1" ht="96.75" hidden="1" customHeight="1">
      <c r="B196" s="44" t="s">
        <v>211</v>
      </c>
      <c r="C196" s="27" t="s">
        <v>1763</v>
      </c>
      <c r="D196" s="658"/>
      <c r="E196" s="414" t="s">
        <v>212</v>
      </c>
      <c r="F196" s="414" t="s">
        <v>1764</v>
      </c>
      <c r="G196" s="137" t="s">
        <v>1765</v>
      </c>
      <c r="H196" s="414" t="s">
        <v>1694</v>
      </c>
      <c r="I196" s="414">
        <v>1</v>
      </c>
      <c r="J196" s="414" t="s">
        <v>426</v>
      </c>
      <c r="K196" s="414" t="s">
        <v>73</v>
      </c>
      <c r="L196" s="414" t="s">
        <v>1695</v>
      </c>
      <c r="M196" s="414" t="s">
        <v>127</v>
      </c>
      <c r="N196" s="414" t="s">
        <v>1696</v>
      </c>
      <c r="O196" s="59">
        <v>44197</v>
      </c>
      <c r="P196" s="59">
        <v>44561</v>
      </c>
      <c r="Q196" s="414">
        <f t="shared" si="14"/>
        <v>0.89949999999999997</v>
      </c>
      <c r="R196" s="414">
        <v>14000</v>
      </c>
      <c r="S196" s="142">
        <f t="shared" si="13"/>
        <v>12000.285714285714</v>
      </c>
      <c r="T196" s="414">
        <v>0</v>
      </c>
      <c r="U196" s="414">
        <f>450/R196</f>
        <v>3.214285714285714E-2</v>
      </c>
      <c r="V196" s="414" t="s">
        <v>204</v>
      </c>
      <c r="W196" s="414">
        <v>0</v>
      </c>
      <c r="X196" s="414">
        <f>450/R196</f>
        <v>3.214285714285714E-2</v>
      </c>
      <c r="Y196" s="414" t="s">
        <v>213</v>
      </c>
      <c r="Z196" s="414">
        <v>0</v>
      </c>
      <c r="AA196" s="414">
        <v>0</v>
      </c>
      <c r="AB196" s="414" t="s">
        <v>1766</v>
      </c>
      <c r="AC196" s="414">
        <v>0</v>
      </c>
      <c r="AD196" s="61">
        <f>+(6494/R196)</f>
        <v>0.46385714285714286</v>
      </c>
      <c r="AE196" s="61" t="s">
        <v>214</v>
      </c>
      <c r="AF196" s="414">
        <f>2000/R196</f>
        <v>0.14285714285714285</v>
      </c>
      <c r="AG196" s="214">
        <v>0</v>
      </c>
      <c r="AH196" s="163" t="s">
        <v>1767</v>
      </c>
      <c r="AI196" s="414">
        <f>2000/R196</f>
        <v>0.14285714285714285</v>
      </c>
      <c r="AJ196" s="414">
        <f>+(5199/2000)*AI196</f>
        <v>0.37135714285714283</v>
      </c>
      <c r="AK196" s="414" t="s">
        <v>1768</v>
      </c>
      <c r="AL196" s="414">
        <v>2000</v>
      </c>
      <c r="AM196" s="414"/>
      <c r="AN196" s="414"/>
      <c r="AO196" s="414">
        <v>2000</v>
      </c>
      <c r="AP196" s="414"/>
      <c r="AQ196" s="414"/>
      <c r="AR196" s="414">
        <v>2000</v>
      </c>
      <c r="AS196" s="414"/>
      <c r="AT196" s="414"/>
      <c r="AU196" s="414">
        <v>2000</v>
      </c>
      <c r="AV196" s="414"/>
      <c r="AW196" s="414"/>
      <c r="AX196" s="414">
        <v>2000</v>
      </c>
      <c r="AY196" s="414"/>
      <c r="AZ196" s="414"/>
      <c r="BA196" s="414">
        <v>2000</v>
      </c>
      <c r="BB196" s="142"/>
      <c r="BC196" s="142"/>
      <c r="BD196" s="413">
        <f t="shared" si="16"/>
        <v>0.2857142857142857</v>
      </c>
      <c r="BE196" s="413">
        <f t="shared" si="17"/>
        <v>0.89949999999999997</v>
      </c>
      <c r="BF196" s="60">
        <f t="shared" si="15"/>
        <v>3.14825</v>
      </c>
    </row>
    <row r="197" spans="2:59" s="2" customFormat="1" ht="96.75" customHeight="1">
      <c r="B197" s="44" t="s">
        <v>215</v>
      </c>
      <c r="C197" s="27" t="s">
        <v>1769</v>
      </c>
      <c r="D197" s="658"/>
      <c r="E197" s="661" t="s">
        <v>216</v>
      </c>
      <c r="F197" s="661" t="s">
        <v>1770</v>
      </c>
      <c r="G197" s="137" t="s">
        <v>1771</v>
      </c>
      <c r="H197" s="414" t="s">
        <v>1694</v>
      </c>
      <c r="I197" s="414">
        <v>0.8</v>
      </c>
      <c r="J197" s="414" t="s">
        <v>426</v>
      </c>
      <c r="K197" s="414" t="s">
        <v>73</v>
      </c>
      <c r="L197" s="414" t="s">
        <v>1772</v>
      </c>
      <c r="M197" s="414" t="s">
        <v>127</v>
      </c>
      <c r="N197" s="414" t="s">
        <v>1696</v>
      </c>
      <c r="O197" s="59">
        <v>44197</v>
      </c>
      <c r="P197" s="59">
        <v>44561</v>
      </c>
      <c r="Q197" s="414">
        <f t="shared" si="14"/>
        <v>1.1433517776084292</v>
      </c>
      <c r="R197" s="414">
        <v>603620</v>
      </c>
      <c r="S197" s="142">
        <f t="shared" si="13"/>
        <v>0.3596401709684901</v>
      </c>
      <c r="T197" s="414">
        <v>0</v>
      </c>
      <c r="U197" s="414">
        <v>0</v>
      </c>
      <c r="V197" s="414" t="s">
        <v>218</v>
      </c>
      <c r="W197" s="414">
        <f>104387/R197</f>
        <v>0.17293495908021603</v>
      </c>
      <c r="X197" s="414">
        <v>0</v>
      </c>
      <c r="Y197" s="319" t="s">
        <v>1773</v>
      </c>
      <c r="Z197" s="414">
        <v>0</v>
      </c>
      <c r="AA197" s="414">
        <v>0</v>
      </c>
      <c r="AB197" s="414" t="s">
        <v>1774</v>
      </c>
      <c r="AC197" s="414">
        <v>0</v>
      </c>
      <c r="AD197" s="61">
        <v>0</v>
      </c>
      <c r="AE197" s="61" t="s">
        <v>219</v>
      </c>
      <c r="AF197" s="414">
        <f>45519/R197</f>
        <v>7.5410026175408373E-2</v>
      </c>
      <c r="AG197" s="214">
        <f>+(466682/45519)*AF197</f>
        <v>0.77313872966435848</v>
      </c>
      <c r="AH197" s="163" t="s">
        <v>1775</v>
      </c>
      <c r="AI197" s="414">
        <f>67180/R197</f>
        <v>0.11129518571286572</v>
      </c>
      <c r="AJ197" s="414">
        <f>+(223468/67180)*AI197</f>
        <v>0.37021304794407078</v>
      </c>
      <c r="AK197" s="414" t="s">
        <v>1758</v>
      </c>
      <c r="AL197" s="414">
        <v>0</v>
      </c>
      <c r="AM197" s="414"/>
      <c r="AN197" s="414"/>
      <c r="AO197" s="414">
        <v>0</v>
      </c>
      <c r="AP197" s="414"/>
      <c r="AQ197" s="414"/>
      <c r="AR197" s="414">
        <v>0</v>
      </c>
      <c r="AS197" s="414"/>
      <c r="AT197" s="414"/>
      <c r="AU197" s="414">
        <v>0</v>
      </c>
      <c r="AV197" s="414"/>
      <c r="AW197" s="414"/>
      <c r="AX197" s="414">
        <v>0</v>
      </c>
      <c r="AY197" s="414"/>
      <c r="AZ197" s="414"/>
      <c r="BA197" s="414">
        <v>0</v>
      </c>
      <c r="BB197" s="142"/>
      <c r="BC197" s="142"/>
      <c r="BD197" s="413">
        <f t="shared" si="16"/>
        <v>0.3596401709684901</v>
      </c>
      <c r="BE197" s="413">
        <f t="shared" si="17"/>
        <v>1.1433517776084292</v>
      </c>
      <c r="BF197" s="60">
        <f t="shared" si="15"/>
        <v>3.1791548050081535</v>
      </c>
    </row>
    <row r="198" spans="2:59" s="2" customFormat="1" ht="96.75" hidden="1" customHeight="1">
      <c r="B198" s="44" t="s">
        <v>215</v>
      </c>
      <c r="C198" s="27" t="s">
        <v>1776</v>
      </c>
      <c r="D198" s="658"/>
      <c r="E198" s="661"/>
      <c r="F198" s="661"/>
      <c r="G198" s="137" t="s">
        <v>1777</v>
      </c>
      <c r="H198" s="414" t="s">
        <v>1694</v>
      </c>
      <c r="I198" s="414">
        <v>0.2</v>
      </c>
      <c r="J198" s="414" t="s">
        <v>426</v>
      </c>
      <c r="K198" s="414" t="s">
        <v>73</v>
      </c>
      <c r="L198" s="414" t="s">
        <v>1695</v>
      </c>
      <c r="M198" s="414" t="s">
        <v>127</v>
      </c>
      <c r="N198" s="414" t="s">
        <v>1696</v>
      </c>
      <c r="O198" s="59">
        <v>44197</v>
      </c>
      <c r="P198" s="59">
        <v>44561</v>
      </c>
      <c r="Q198" s="414">
        <f t="shared" si="14"/>
        <v>0.82352941176470584</v>
      </c>
      <c r="R198" s="414">
        <v>17</v>
      </c>
      <c r="S198" s="142">
        <f t="shared" si="13"/>
        <v>0.35294117647058826</v>
      </c>
      <c r="T198" s="414">
        <v>0</v>
      </c>
      <c r="U198" s="414">
        <v>0</v>
      </c>
      <c r="V198" s="414" t="s">
        <v>218</v>
      </c>
      <c r="W198" s="414">
        <v>0</v>
      </c>
      <c r="X198" s="414">
        <v>0</v>
      </c>
      <c r="Y198" s="319" t="s">
        <v>1773</v>
      </c>
      <c r="Z198" s="414">
        <v>0</v>
      </c>
      <c r="AA198" s="414">
        <v>0</v>
      </c>
      <c r="AB198" s="414" t="s">
        <v>1778</v>
      </c>
      <c r="AC198" s="414">
        <f>6/R198</f>
        <v>0.35294117647058826</v>
      </c>
      <c r="AD198" s="61">
        <v>0</v>
      </c>
      <c r="AE198" s="318" t="s">
        <v>1779</v>
      </c>
      <c r="AF198" s="414">
        <v>0</v>
      </c>
      <c r="AG198" s="214">
        <f>8/R198</f>
        <v>0.47058823529411764</v>
      </c>
      <c r="AH198" s="180" t="s">
        <v>1751</v>
      </c>
      <c r="AI198" s="414">
        <v>0</v>
      </c>
      <c r="AJ198" s="414">
        <f>6/R198</f>
        <v>0.35294117647058826</v>
      </c>
      <c r="AK198" s="414" t="s">
        <v>1752</v>
      </c>
      <c r="AL198" s="414">
        <v>0</v>
      </c>
      <c r="AM198" s="414"/>
      <c r="AN198" s="414"/>
      <c r="AO198" s="414">
        <v>0</v>
      </c>
      <c r="AP198" s="414"/>
      <c r="AQ198" s="414"/>
      <c r="AR198" s="414">
        <v>0</v>
      </c>
      <c r="AS198" s="414"/>
      <c r="AT198" s="414"/>
      <c r="AU198" s="414">
        <v>0</v>
      </c>
      <c r="AV198" s="414"/>
      <c r="AW198" s="414"/>
      <c r="AX198" s="414">
        <v>0</v>
      </c>
      <c r="AY198" s="414"/>
      <c r="AZ198" s="414"/>
      <c r="BA198" s="414">
        <v>0</v>
      </c>
      <c r="BB198" s="142"/>
      <c r="BC198" s="142"/>
      <c r="BD198" s="413">
        <f t="shared" si="16"/>
        <v>0.35294117647058826</v>
      </c>
      <c r="BE198" s="413">
        <f t="shared" si="17"/>
        <v>0.82352941176470584</v>
      </c>
      <c r="BF198" s="60">
        <f t="shared" si="15"/>
        <v>2.333333333333333</v>
      </c>
    </row>
    <row r="199" spans="2:59" s="2" customFormat="1" ht="96.75" hidden="1" customHeight="1" thickBot="1">
      <c r="B199" s="44" t="s">
        <v>220</v>
      </c>
      <c r="C199" s="27" t="s">
        <v>1780</v>
      </c>
      <c r="D199" s="658"/>
      <c r="E199" s="661" t="s">
        <v>221</v>
      </c>
      <c r="F199" s="661" t="s">
        <v>1781</v>
      </c>
      <c r="G199" s="137" t="s">
        <v>1782</v>
      </c>
      <c r="H199" s="414" t="s">
        <v>472</v>
      </c>
      <c r="I199" s="414">
        <v>0.5</v>
      </c>
      <c r="J199" s="414" t="s">
        <v>426</v>
      </c>
      <c r="K199" s="414" t="s">
        <v>73</v>
      </c>
      <c r="L199" s="414" t="s">
        <v>1695</v>
      </c>
      <c r="M199" s="414" t="s">
        <v>127</v>
      </c>
      <c r="N199" s="414" t="s">
        <v>1696</v>
      </c>
      <c r="O199" s="59">
        <v>44197</v>
      </c>
      <c r="P199" s="59">
        <v>44561</v>
      </c>
      <c r="Q199" s="414">
        <f t="shared" si="14"/>
        <v>0.46666666666666667</v>
      </c>
      <c r="R199" s="414">
        <v>30</v>
      </c>
      <c r="S199" s="142">
        <f t="shared" si="13"/>
        <v>18.399999999999999</v>
      </c>
      <c r="T199" s="414">
        <v>0</v>
      </c>
      <c r="U199" s="414">
        <v>0</v>
      </c>
      <c r="V199" s="414" t="s">
        <v>222</v>
      </c>
      <c r="W199" s="414">
        <f>2/R199</f>
        <v>6.6666666666666666E-2</v>
      </c>
      <c r="X199" s="414">
        <f>+(3/2)*W199</f>
        <v>0.1</v>
      </c>
      <c r="Y199" s="319" t="s">
        <v>1783</v>
      </c>
      <c r="Z199" s="414">
        <f>2/R199</f>
        <v>6.6666666666666666E-2</v>
      </c>
      <c r="AA199" s="414">
        <f>+(6/2)*Z199</f>
        <v>0.2</v>
      </c>
      <c r="AB199" s="414" t="s">
        <v>1784</v>
      </c>
      <c r="AC199" s="414">
        <f>2/R199</f>
        <v>6.6666666666666666E-2</v>
      </c>
      <c r="AD199" s="61">
        <f>+(5/2)*AC199</f>
        <v>0.16666666666666666</v>
      </c>
      <c r="AE199" s="61" t="s">
        <v>1785</v>
      </c>
      <c r="AF199" s="414">
        <f>3/R199</f>
        <v>0.1</v>
      </c>
      <c r="AG199" s="214">
        <v>0</v>
      </c>
      <c r="AH199" s="163" t="s">
        <v>1786</v>
      </c>
      <c r="AI199" s="414">
        <f>3/R199</f>
        <v>0.1</v>
      </c>
      <c r="AJ199" s="414">
        <v>0</v>
      </c>
      <c r="AK199" s="414" t="s">
        <v>1787</v>
      </c>
      <c r="AL199" s="414">
        <v>3</v>
      </c>
      <c r="AM199" s="414"/>
      <c r="AN199" s="414"/>
      <c r="AO199" s="414">
        <v>3</v>
      </c>
      <c r="AP199" s="414"/>
      <c r="AQ199" s="414"/>
      <c r="AR199" s="414">
        <v>3</v>
      </c>
      <c r="AS199" s="414"/>
      <c r="AT199" s="414"/>
      <c r="AU199" s="414">
        <v>3</v>
      </c>
      <c r="AV199" s="414"/>
      <c r="AW199" s="414"/>
      <c r="AX199" s="414">
        <v>3</v>
      </c>
      <c r="AY199" s="414"/>
      <c r="AZ199" s="414"/>
      <c r="BA199" s="414">
        <v>3</v>
      </c>
      <c r="BB199" s="142"/>
      <c r="BC199" s="142"/>
      <c r="BD199" s="413">
        <f t="shared" si="16"/>
        <v>0.4</v>
      </c>
      <c r="BE199" s="413">
        <f t="shared" si="17"/>
        <v>0.46666666666666667</v>
      </c>
      <c r="BF199" s="60">
        <f t="shared" si="15"/>
        <v>1.1666666666666665</v>
      </c>
    </row>
    <row r="200" spans="2:59" s="2" customFormat="1" ht="96.75" hidden="1" customHeight="1">
      <c r="B200" s="44" t="s">
        <v>220</v>
      </c>
      <c r="C200" s="27" t="s">
        <v>1788</v>
      </c>
      <c r="D200" s="658"/>
      <c r="E200" s="661"/>
      <c r="F200" s="661"/>
      <c r="G200" s="137" t="s">
        <v>1789</v>
      </c>
      <c r="H200" s="414" t="s">
        <v>472</v>
      </c>
      <c r="I200" s="414">
        <v>0.5</v>
      </c>
      <c r="J200" s="414" t="s">
        <v>426</v>
      </c>
      <c r="K200" s="414" t="s">
        <v>73</v>
      </c>
      <c r="L200" s="414" t="s">
        <v>1695</v>
      </c>
      <c r="M200" s="414" t="s">
        <v>127</v>
      </c>
      <c r="N200" s="414" t="s">
        <v>1696</v>
      </c>
      <c r="O200" s="59">
        <v>44197</v>
      </c>
      <c r="P200" s="59">
        <v>44561</v>
      </c>
      <c r="Q200" s="414">
        <f t="shared" si="14"/>
        <v>0.6</v>
      </c>
      <c r="R200" s="414">
        <v>30</v>
      </c>
      <c r="S200" s="142">
        <f t="shared" si="13"/>
        <v>18.399999999999999</v>
      </c>
      <c r="T200" s="414">
        <v>0</v>
      </c>
      <c r="U200" s="414">
        <v>0</v>
      </c>
      <c r="V200" s="414" t="s">
        <v>222</v>
      </c>
      <c r="W200" s="414">
        <f>2/R200</f>
        <v>6.6666666666666666E-2</v>
      </c>
      <c r="X200" s="414">
        <f>+(3/2)*W200</f>
        <v>0.1</v>
      </c>
      <c r="Y200" s="320" t="s">
        <v>1790</v>
      </c>
      <c r="Z200" s="414">
        <f>2/R200</f>
        <v>6.6666666666666666E-2</v>
      </c>
      <c r="AA200" s="414">
        <f>+(8/2)*Z200</f>
        <v>0.26666666666666666</v>
      </c>
      <c r="AB200" s="414" t="s">
        <v>1791</v>
      </c>
      <c r="AC200" s="414">
        <f>2/R200</f>
        <v>6.6666666666666666E-2</v>
      </c>
      <c r="AD200" s="61">
        <f>+(2/2)*AC200</f>
        <v>6.6666666666666666E-2</v>
      </c>
      <c r="AE200" s="61" t="s">
        <v>1792</v>
      </c>
      <c r="AF200" s="414">
        <f>3/R200</f>
        <v>0.1</v>
      </c>
      <c r="AG200" s="214">
        <f>+(1/3)*AF200</f>
        <v>3.3333333333333333E-2</v>
      </c>
      <c r="AH200" s="163" t="s">
        <v>1793</v>
      </c>
      <c r="AI200" s="414">
        <f>3/R200</f>
        <v>0.1</v>
      </c>
      <c r="AJ200" s="414">
        <f>+(4/3)*AI200</f>
        <v>0.13333333333333333</v>
      </c>
      <c r="AK200" s="414" t="s">
        <v>1794</v>
      </c>
      <c r="AL200" s="414">
        <v>3</v>
      </c>
      <c r="AM200" s="414"/>
      <c r="AN200" s="414"/>
      <c r="AO200" s="414">
        <v>3</v>
      </c>
      <c r="AP200" s="414"/>
      <c r="AQ200" s="414"/>
      <c r="AR200" s="414">
        <v>3</v>
      </c>
      <c r="AS200" s="414"/>
      <c r="AT200" s="414"/>
      <c r="AU200" s="414">
        <v>3</v>
      </c>
      <c r="AV200" s="414"/>
      <c r="AW200" s="414"/>
      <c r="AX200" s="414">
        <v>3</v>
      </c>
      <c r="AY200" s="414"/>
      <c r="AZ200" s="414"/>
      <c r="BA200" s="414">
        <v>3</v>
      </c>
      <c r="BB200" s="142"/>
      <c r="BC200" s="142"/>
      <c r="BD200" s="413">
        <f t="shared" si="16"/>
        <v>0.4</v>
      </c>
      <c r="BE200" s="413">
        <f t="shared" si="17"/>
        <v>0.6</v>
      </c>
      <c r="BF200" s="60">
        <f t="shared" si="15"/>
        <v>1.4999999999999998</v>
      </c>
    </row>
    <row r="201" spans="2:59" s="2" customFormat="1" ht="96.75" hidden="1" customHeight="1">
      <c r="B201" s="44" t="s">
        <v>223</v>
      </c>
      <c r="C201" s="27" t="s">
        <v>1795</v>
      </c>
      <c r="D201" s="659"/>
      <c r="E201" s="415" t="s">
        <v>224</v>
      </c>
      <c r="F201" s="415" t="s">
        <v>1796</v>
      </c>
      <c r="G201" s="192" t="s">
        <v>225</v>
      </c>
      <c r="H201" s="415" t="s">
        <v>1694</v>
      </c>
      <c r="I201" s="415">
        <v>1</v>
      </c>
      <c r="J201" s="415" t="s">
        <v>426</v>
      </c>
      <c r="K201" s="415" t="s">
        <v>73</v>
      </c>
      <c r="L201" s="415" t="s">
        <v>1695</v>
      </c>
      <c r="M201" s="415" t="s">
        <v>127</v>
      </c>
      <c r="N201" s="415" t="s">
        <v>1696</v>
      </c>
      <c r="O201" s="64">
        <v>44197</v>
      </c>
      <c r="P201" s="64">
        <v>44561</v>
      </c>
      <c r="Q201" s="415">
        <f t="shared" si="14"/>
        <v>0</v>
      </c>
      <c r="R201" s="415">
        <v>3</v>
      </c>
      <c r="S201" s="66">
        <f t="shared" si="13"/>
        <v>3</v>
      </c>
      <c r="T201" s="415">
        <v>0</v>
      </c>
      <c r="U201" s="415">
        <v>0</v>
      </c>
      <c r="V201" s="415" t="s">
        <v>226</v>
      </c>
      <c r="W201" s="415">
        <v>0</v>
      </c>
      <c r="X201" s="415">
        <v>0</v>
      </c>
      <c r="Y201" s="415" t="s">
        <v>227</v>
      </c>
      <c r="Z201" s="415">
        <v>0</v>
      </c>
      <c r="AA201" s="415">
        <v>0</v>
      </c>
      <c r="AB201" s="415" t="s">
        <v>1797</v>
      </c>
      <c r="AC201" s="415">
        <v>0</v>
      </c>
      <c r="AD201" s="193">
        <v>0</v>
      </c>
      <c r="AE201" s="193" t="s">
        <v>228</v>
      </c>
      <c r="AF201" s="415">
        <v>0</v>
      </c>
      <c r="AG201" s="239">
        <v>0</v>
      </c>
      <c r="AH201" s="198" t="s">
        <v>1798</v>
      </c>
      <c r="AI201" s="415">
        <v>0</v>
      </c>
      <c r="AJ201" s="415">
        <v>0</v>
      </c>
      <c r="AK201" s="415" t="s">
        <v>1799</v>
      </c>
      <c r="AL201" s="415">
        <v>0</v>
      </c>
      <c r="AM201" s="415"/>
      <c r="AN201" s="415"/>
      <c r="AO201" s="415">
        <v>0</v>
      </c>
      <c r="AP201" s="415"/>
      <c r="AQ201" s="415"/>
      <c r="AR201" s="415">
        <v>1</v>
      </c>
      <c r="AS201" s="415"/>
      <c r="AT201" s="415"/>
      <c r="AU201" s="415">
        <v>1</v>
      </c>
      <c r="AV201" s="415"/>
      <c r="AW201" s="415"/>
      <c r="AX201" s="415">
        <v>1</v>
      </c>
      <c r="AY201" s="415"/>
      <c r="AZ201" s="415"/>
      <c r="BA201" s="415">
        <v>0</v>
      </c>
      <c r="BB201" s="66"/>
      <c r="BC201" s="66"/>
      <c r="BD201" s="413">
        <f t="shared" si="16"/>
        <v>0</v>
      </c>
      <c r="BE201" s="413">
        <f t="shared" si="17"/>
        <v>0</v>
      </c>
      <c r="BF201" s="67" t="str">
        <f t="shared" si="15"/>
        <v>No programación, No avance</v>
      </c>
    </row>
    <row r="202" spans="2:59" s="2" customFormat="1" ht="60" hidden="1" customHeight="1" thickBot="1">
      <c r="B202" s="44" t="s">
        <v>249</v>
      </c>
      <c r="C202" s="27" t="s">
        <v>1800</v>
      </c>
      <c r="D202" s="672" t="s">
        <v>28</v>
      </c>
      <c r="E202" s="647" t="s">
        <v>250</v>
      </c>
      <c r="F202" s="647" t="s">
        <v>357</v>
      </c>
      <c r="G202" s="409" t="s">
        <v>1801</v>
      </c>
      <c r="H202" s="409" t="s">
        <v>472</v>
      </c>
      <c r="I202" s="409">
        <v>0.5</v>
      </c>
      <c r="J202" s="409" t="s">
        <v>1802</v>
      </c>
      <c r="K202" s="409" t="s">
        <v>79</v>
      </c>
      <c r="L202" s="409" t="s">
        <v>1803</v>
      </c>
      <c r="M202" s="409" t="s">
        <v>127</v>
      </c>
      <c r="N202" s="409" t="s">
        <v>475</v>
      </c>
      <c r="O202" s="37">
        <v>44197</v>
      </c>
      <c r="P202" s="37">
        <v>44561</v>
      </c>
      <c r="Q202" s="409">
        <f t="shared" si="14"/>
        <v>0.4</v>
      </c>
      <c r="R202" s="409">
        <v>1</v>
      </c>
      <c r="S202" s="412">
        <f t="shared" si="13"/>
        <v>1</v>
      </c>
      <c r="T202" s="409">
        <v>0</v>
      </c>
      <c r="U202" s="409">
        <v>0</v>
      </c>
      <c r="V202" s="409" t="s">
        <v>373</v>
      </c>
      <c r="W202" s="409">
        <v>0</v>
      </c>
      <c r="X202" s="289">
        <v>0</v>
      </c>
      <c r="Y202" s="409" t="s">
        <v>1804</v>
      </c>
      <c r="Z202" s="409">
        <v>0</v>
      </c>
      <c r="AA202" s="112">
        <v>0</v>
      </c>
      <c r="AB202" s="54" t="s">
        <v>1805</v>
      </c>
      <c r="AC202" s="409">
        <v>0.2</v>
      </c>
      <c r="AD202" s="112">
        <v>0.2</v>
      </c>
      <c r="AE202" s="54" t="s">
        <v>1806</v>
      </c>
      <c r="AF202" s="409">
        <v>0</v>
      </c>
      <c r="AG202" s="243">
        <v>0</v>
      </c>
      <c r="AH202" s="152" t="s">
        <v>1807</v>
      </c>
      <c r="AI202" s="409">
        <v>0</v>
      </c>
      <c r="AJ202" s="409">
        <v>0.2</v>
      </c>
      <c r="AK202" s="409" t="s">
        <v>1808</v>
      </c>
      <c r="AL202" s="409">
        <v>0</v>
      </c>
      <c r="AM202" s="409"/>
      <c r="AN202" s="409"/>
      <c r="AO202" s="409">
        <v>0</v>
      </c>
      <c r="AP202" s="409"/>
      <c r="AQ202" s="409"/>
      <c r="AR202" s="409">
        <v>0</v>
      </c>
      <c r="AS202" s="409"/>
      <c r="AT202" s="409"/>
      <c r="AU202" s="409">
        <v>0</v>
      </c>
      <c r="AV202" s="409"/>
      <c r="AW202" s="409"/>
      <c r="AX202" s="409">
        <v>0</v>
      </c>
      <c r="AY202" s="409"/>
      <c r="AZ202" s="409"/>
      <c r="BA202" s="199">
        <v>0.8</v>
      </c>
      <c r="BB202" s="412"/>
      <c r="BC202" s="412"/>
      <c r="BD202" s="413">
        <f t="shared" si="16"/>
        <v>0.2</v>
      </c>
      <c r="BE202" s="413">
        <f t="shared" si="17"/>
        <v>0.4</v>
      </c>
      <c r="BF202" s="46">
        <f t="shared" si="15"/>
        <v>2</v>
      </c>
      <c r="BG202" s="2">
        <f>+AVERAGE(BF202:BF203)</f>
        <v>1.21</v>
      </c>
    </row>
    <row r="203" spans="2:59" s="2" customFormat="1" ht="156" hidden="1">
      <c r="B203" s="44" t="s">
        <v>249</v>
      </c>
      <c r="C203" s="27" t="s">
        <v>1809</v>
      </c>
      <c r="D203" s="674"/>
      <c r="E203" s="649"/>
      <c r="F203" s="649"/>
      <c r="G203" s="411" t="s">
        <v>1810</v>
      </c>
      <c r="H203" s="411" t="s">
        <v>472</v>
      </c>
      <c r="I203" s="411">
        <v>0.5</v>
      </c>
      <c r="J203" s="411" t="s">
        <v>1802</v>
      </c>
      <c r="K203" s="411" t="s">
        <v>79</v>
      </c>
      <c r="L203" s="411" t="s">
        <v>1811</v>
      </c>
      <c r="M203" s="411" t="s">
        <v>127</v>
      </c>
      <c r="N203" s="411" t="s">
        <v>475</v>
      </c>
      <c r="O203" s="42">
        <v>44197</v>
      </c>
      <c r="P203" s="42">
        <v>44561</v>
      </c>
      <c r="Q203" s="411">
        <f t="shared" si="14"/>
        <v>0.42000000000000004</v>
      </c>
      <c r="R203" s="411">
        <v>1</v>
      </c>
      <c r="S203" s="143">
        <f t="shared" si="13"/>
        <v>1</v>
      </c>
      <c r="T203" s="411">
        <v>0</v>
      </c>
      <c r="U203" s="411">
        <v>0</v>
      </c>
      <c r="V203" s="411" t="s">
        <v>74</v>
      </c>
      <c r="W203" s="411">
        <v>0</v>
      </c>
      <c r="X203" s="53">
        <v>0</v>
      </c>
      <c r="Y203" s="411" t="s">
        <v>1812</v>
      </c>
      <c r="Z203" s="411">
        <v>0</v>
      </c>
      <c r="AA203" s="200">
        <v>0</v>
      </c>
      <c r="AB203" s="176" t="s">
        <v>1813</v>
      </c>
      <c r="AC203" s="411">
        <v>0</v>
      </c>
      <c r="AD203" s="200">
        <v>0.22</v>
      </c>
      <c r="AE203" s="176" t="s">
        <v>1814</v>
      </c>
      <c r="AF203" s="411">
        <v>0</v>
      </c>
      <c r="AG203" s="244">
        <v>0</v>
      </c>
      <c r="AH203" s="196" t="s">
        <v>1815</v>
      </c>
      <c r="AI203" s="411">
        <v>0</v>
      </c>
      <c r="AJ203" s="411">
        <v>0.2</v>
      </c>
      <c r="AK203" s="411" t="s">
        <v>1816</v>
      </c>
      <c r="AL203" s="411">
        <v>0</v>
      </c>
      <c r="AM203" s="411"/>
      <c r="AN203" s="411"/>
      <c r="AO203" s="411">
        <v>0</v>
      </c>
      <c r="AP203" s="411"/>
      <c r="AQ203" s="411"/>
      <c r="AR203" s="411">
        <v>0</v>
      </c>
      <c r="AS203" s="411"/>
      <c r="AT203" s="411"/>
      <c r="AU203" s="411">
        <v>0</v>
      </c>
      <c r="AV203" s="411"/>
      <c r="AW203" s="411"/>
      <c r="AX203" s="411">
        <v>0</v>
      </c>
      <c r="AY203" s="411"/>
      <c r="AZ203" s="411"/>
      <c r="BA203" s="177">
        <v>1</v>
      </c>
      <c r="BB203" s="143"/>
      <c r="BC203" s="143"/>
      <c r="BD203" s="413">
        <f t="shared" si="16"/>
        <v>0</v>
      </c>
      <c r="BE203" s="413">
        <f t="shared" si="17"/>
        <v>0.42000000000000004</v>
      </c>
      <c r="BF203" s="52">
        <f t="shared" si="15"/>
        <v>0.42000000000000004</v>
      </c>
    </row>
    <row r="204" spans="2:59" s="2" customFormat="1" ht="53.25" hidden="1" customHeight="1">
      <c r="B204" s="44" t="s">
        <v>252</v>
      </c>
      <c r="C204" s="27" t="s">
        <v>1817</v>
      </c>
      <c r="D204" s="663" t="s">
        <v>21</v>
      </c>
      <c r="E204" s="660" t="s">
        <v>253</v>
      </c>
      <c r="F204" s="660" t="s">
        <v>1818</v>
      </c>
      <c r="G204" s="416" t="s">
        <v>1819</v>
      </c>
      <c r="H204" s="416" t="s">
        <v>472</v>
      </c>
      <c r="I204" s="416">
        <v>50</v>
      </c>
      <c r="J204" s="416" t="s">
        <v>254</v>
      </c>
      <c r="K204" s="416" t="s">
        <v>73</v>
      </c>
      <c r="L204" s="416" t="s">
        <v>72</v>
      </c>
      <c r="M204" s="416" t="s">
        <v>1820</v>
      </c>
      <c r="N204" s="416" t="s">
        <v>1821</v>
      </c>
      <c r="O204" s="74">
        <v>44197</v>
      </c>
      <c r="P204" s="74">
        <v>44561</v>
      </c>
      <c r="Q204" s="416">
        <f t="shared" si="14"/>
        <v>0.125</v>
      </c>
      <c r="R204" s="416">
        <v>8</v>
      </c>
      <c r="S204" s="141">
        <f t="shared" si="13"/>
        <v>5.375</v>
      </c>
      <c r="T204" s="416">
        <v>0</v>
      </c>
      <c r="U204" s="416">
        <v>0</v>
      </c>
      <c r="V204" s="416" t="s">
        <v>1822</v>
      </c>
      <c r="W204" s="416">
        <v>0</v>
      </c>
      <c r="X204" s="416">
        <v>0</v>
      </c>
      <c r="Y204" s="416" t="s">
        <v>1822</v>
      </c>
      <c r="Z204" s="416">
        <f>1/R204</f>
        <v>0.125</v>
      </c>
      <c r="AA204" s="79">
        <v>0</v>
      </c>
      <c r="AB204" s="79" t="s">
        <v>1823</v>
      </c>
      <c r="AC204" s="416">
        <f>1/R204</f>
        <v>0.125</v>
      </c>
      <c r="AD204" s="79">
        <f>+(1/1)*AC204</f>
        <v>0.125</v>
      </c>
      <c r="AE204" s="79" t="s">
        <v>1824</v>
      </c>
      <c r="AF204" s="416">
        <f>1/R204</f>
        <v>0.125</v>
      </c>
      <c r="AG204" s="266">
        <v>0</v>
      </c>
      <c r="AH204" s="202" t="s">
        <v>1825</v>
      </c>
      <c r="AI204" s="416">
        <v>0</v>
      </c>
      <c r="AJ204" s="416">
        <v>0</v>
      </c>
      <c r="AK204" s="416" t="s">
        <v>1822</v>
      </c>
      <c r="AL204" s="416">
        <v>1</v>
      </c>
      <c r="AM204" s="416"/>
      <c r="AN204" s="416"/>
      <c r="AO204" s="416">
        <v>1</v>
      </c>
      <c r="AP204" s="416"/>
      <c r="AQ204" s="416"/>
      <c r="AR204" s="416">
        <v>1</v>
      </c>
      <c r="AS204" s="416"/>
      <c r="AT204" s="416"/>
      <c r="AU204" s="416">
        <v>1</v>
      </c>
      <c r="AV204" s="416"/>
      <c r="AW204" s="416"/>
      <c r="AX204" s="416">
        <v>1</v>
      </c>
      <c r="AY204" s="416"/>
      <c r="AZ204" s="416"/>
      <c r="BA204" s="416">
        <v>0</v>
      </c>
      <c r="BB204" s="141"/>
      <c r="BC204" s="141"/>
      <c r="BD204" s="413">
        <f t="shared" si="16"/>
        <v>0.375</v>
      </c>
      <c r="BE204" s="413">
        <f t="shared" si="17"/>
        <v>0.125</v>
      </c>
      <c r="BF204" s="75">
        <f t="shared" si="15"/>
        <v>0.33333333333333331</v>
      </c>
      <c r="BG204" s="2">
        <f>+AVERAGE(BF204:BF210)</f>
        <v>1.7152777777777777</v>
      </c>
    </row>
    <row r="205" spans="2:59" s="2" customFormat="1" ht="53.25" hidden="1" customHeight="1">
      <c r="B205" s="44" t="s">
        <v>252</v>
      </c>
      <c r="C205" s="27" t="s">
        <v>1826</v>
      </c>
      <c r="D205" s="664"/>
      <c r="E205" s="661"/>
      <c r="F205" s="661"/>
      <c r="G205" s="414" t="s">
        <v>1827</v>
      </c>
      <c r="H205" s="414" t="s">
        <v>472</v>
      </c>
      <c r="I205" s="414">
        <v>50</v>
      </c>
      <c r="J205" s="414" t="s">
        <v>254</v>
      </c>
      <c r="K205" s="414" t="s">
        <v>73</v>
      </c>
      <c r="L205" s="414" t="s">
        <v>72</v>
      </c>
      <c r="M205" s="414" t="s">
        <v>1820</v>
      </c>
      <c r="N205" s="414" t="s">
        <v>1821</v>
      </c>
      <c r="O205" s="59">
        <v>44197</v>
      </c>
      <c r="P205" s="59">
        <v>44561</v>
      </c>
      <c r="Q205" s="414">
        <f t="shared" si="14"/>
        <v>0</v>
      </c>
      <c r="R205" s="414">
        <v>15</v>
      </c>
      <c r="S205" s="142">
        <f t="shared" si="13"/>
        <v>8.4666666666666668</v>
      </c>
      <c r="T205" s="414">
        <v>0</v>
      </c>
      <c r="U205" s="414">
        <v>0</v>
      </c>
      <c r="V205" s="414" t="s">
        <v>1822</v>
      </c>
      <c r="W205" s="414">
        <f>1/15</f>
        <v>6.6666666666666666E-2</v>
      </c>
      <c r="X205" s="414">
        <v>0</v>
      </c>
      <c r="Y205" s="414" t="s">
        <v>1828</v>
      </c>
      <c r="Z205" s="414">
        <f>2/15</f>
        <v>0.13333333333333333</v>
      </c>
      <c r="AA205" s="61">
        <v>0</v>
      </c>
      <c r="AB205" s="61" t="s">
        <v>1829</v>
      </c>
      <c r="AC205" s="414">
        <f>2/15</f>
        <v>0.13333333333333333</v>
      </c>
      <c r="AD205" s="61">
        <v>0</v>
      </c>
      <c r="AE205" s="61" t="s">
        <v>1830</v>
      </c>
      <c r="AF205" s="414">
        <f>2/15</f>
        <v>0.13333333333333333</v>
      </c>
      <c r="AG205" s="267">
        <v>0</v>
      </c>
      <c r="AH205" s="201" t="s">
        <v>1831</v>
      </c>
      <c r="AI205" s="414">
        <v>0</v>
      </c>
      <c r="AJ205" s="414">
        <v>0</v>
      </c>
      <c r="AK205" s="414" t="s">
        <v>1822</v>
      </c>
      <c r="AL205" s="414">
        <v>2</v>
      </c>
      <c r="AM205" s="414"/>
      <c r="AN205" s="414"/>
      <c r="AO205" s="414">
        <v>2</v>
      </c>
      <c r="AP205" s="414"/>
      <c r="AQ205" s="414"/>
      <c r="AR205" s="414">
        <v>2</v>
      </c>
      <c r="AS205" s="414"/>
      <c r="AT205" s="414"/>
      <c r="AU205" s="414">
        <v>1</v>
      </c>
      <c r="AV205" s="414"/>
      <c r="AW205" s="414"/>
      <c r="AX205" s="414">
        <v>1</v>
      </c>
      <c r="AY205" s="414"/>
      <c r="AZ205" s="414"/>
      <c r="BA205" s="414">
        <v>0</v>
      </c>
      <c r="BB205" s="142"/>
      <c r="BC205" s="142"/>
      <c r="BD205" s="413">
        <f t="shared" si="16"/>
        <v>0.46666666666666667</v>
      </c>
      <c r="BE205" s="413">
        <f t="shared" si="17"/>
        <v>0</v>
      </c>
      <c r="BF205" s="60">
        <f t="shared" si="15"/>
        <v>0</v>
      </c>
    </row>
    <row r="206" spans="2:59" s="2" customFormat="1" ht="72" hidden="1" customHeight="1">
      <c r="B206" s="44" t="s">
        <v>255</v>
      </c>
      <c r="C206" s="27" t="s">
        <v>1832</v>
      </c>
      <c r="D206" s="664"/>
      <c r="E206" s="661" t="s">
        <v>256</v>
      </c>
      <c r="F206" s="661" t="s">
        <v>1833</v>
      </c>
      <c r="G206" s="414" t="s">
        <v>1834</v>
      </c>
      <c r="H206" s="414" t="s">
        <v>472</v>
      </c>
      <c r="I206" s="414">
        <v>0.2</v>
      </c>
      <c r="J206" s="414" t="s">
        <v>254</v>
      </c>
      <c r="K206" s="414" t="s">
        <v>73</v>
      </c>
      <c r="L206" s="414" t="s">
        <v>72</v>
      </c>
      <c r="M206" s="414" t="s">
        <v>1820</v>
      </c>
      <c r="N206" s="414" t="s">
        <v>1821</v>
      </c>
      <c r="O206" s="59">
        <v>44197</v>
      </c>
      <c r="P206" s="59">
        <v>44561</v>
      </c>
      <c r="Q206" s="414">
        <f t="shared" si="14"/>
        <v>0.6</v>
      </c>
      <c r="R206" s="414">
        <v>20</v>
      </c>
      <c r="S206" s="142">
        <f t="shared" si="13"/>
        <v>11.45</v>
      </c>
      <c r="T206" s="414">
        <v>0</v>
      </c>
      <c r="U206" s="414">
        <v>0</v>
      </c>
      <c r="V206" s="414" t="s">
        <v>1822</v>
      </c>
      <c r="W206" s="414">
        <f>1/20</f>
        <v>0.05</v>
      </c>
      <c r="X206" s="414">
        <v>0</v>
      </c>
      <c r="Y206" s="414" t="s">
        <v>1822</v>
      </c>
      <c r="Z206" s="414">
        <f>2/20</f>
        <v>0.1</v>
      </c>
      <c r="AA206" s="61">
        <v>0</v>
      </c>
      <c r="AB206" s="61" t="s">
        <v>1835</v>
      </c>
      <c r="AC206" s="414">
        <f>2/20</f>
        <v>0.1</v>
      </c>
      <c r="AD206" s="62">
        <v>0.3</v>
      </c>
      <c r="AE206" s="61" t="s">
        <v>1836</v>
      </c>
      <c r="AF206" s="414">
        <f>2/20</f>
        <v>0.1</v>
      </c>
      <c r="AG206" s="261">
        <v>0.2</v>
      </c>
      <c r="AH206" s="201" t="s">
        <v>1837</v>
      </c>
      <c r="AI206" s="414">
        <f>2/R206</f>
        <v>0.1</v>
      </c>
      <c r="AJ206" s="414">
        <v>0.1</v>
      </c>
      <c r="AK206" s="414" t="s">
        <v>1838</v>
      </c>
      <c r="AL206" s="414">
        <v>2</v>
      </c>
      <c r="AM206" s="414"/>
      <c r="AN206" s="414"/>
      <c r="AO206" s="414">
        <v>2</v>
      </c>
      <c r="AP206" s="414"/>
      <c r="AQ206" s="414"/>
      <c r="AR206" s="414">
        <v>2</v>
      </c>
      <c r="AS206" s="414"/>
      <c r="AT206" s="414"/>
      <c r="AU206" s="414">
        <v>2</v>
      </c>
      <c r="AV206" s="414"/>
      <c r="AW206" s="414"/>
      <c r="AX206" s="414">
        <v>2</v>
      </c>
      <c r="AY206" s="414"/>
      <c r="AZ206" s="414"/>
      <c r="BA206" s="414">
        <v>1</v>
      </c>
      <c r="BB206" s="142"/>
      <c r="BC206" s="142"/>
      <c r="BD206" s="413">
        <f t="shared" si="16"/>
        <v>0.44999999999999996</v>
      </c>
      <c r="BE206" s="413">
        <f t="shared" si="17"/>
        <v>0.6</v>
      </c>
      <c r="BF206" s="60">
        <f t="shared" si="15"/>
        <v>1.3333333333333335</v>
      </c>
    </row>
    <row r="207" spans="2:59" s="2" customFormat="1" ht="114" hidden="1">
      <c r="B207" s="44" t="s">
        <v>255</v>
      </c>
      <c r="C207" s="27" t="s">
        <v>1839</v>
      </c>
      <c r="D207" s="664"/>
      <c r="E207" s="661"/>
      <c r="F207" s="661"/>
      <c r="G207" s="414" t="s">
        <v>1840</v>
      </c>
      <c r="H207" s="414" t="s">
        <v>472</v>
      </c>
      <c r="I207" s="414">
        <v>0.2</v>
      </c>
      <c r="J207" s="414" t="s">
        <v>254</v>
      </c>
      <c r="K207" s="414" t="s">
        <v>73</v>
      </c>
      <c r="L207" s="414" t="s">
        <v>72</v>
      </c>
      <c r="M207" s="414" t="s">
        <v>1820</v>
      </c>
      <c r="N207" s="414" t="s">
        <v>1821</v>
      </c>
      <c r="O207" s="59">
        <v>44197</v>
      </c>
      <c r="P207" s="59">
        <v>44561</v>
      </c>
      <c r="Q207" s="414">
        <f t="shared" si="14"/>
        <v>0.7</v>
      </c>
      <c r="R207" s="414">
        <v>10</v>
      </c>
      <c r="S207" s="142">
        <f t="shared" si="13"/>
        <v>18.100000000000001</v>
      </c>
      <c r="T207" s="414">
        <v>0</v>
      </c>
      <c r="U207" s="414">
        <v>0</v>
      </c>
      <c r="V207" s="414" t="s">
        <v>1822</v>
      </c>
      <c r="W207" s="414">
        <f>1/10</f>
        <v>0.1</v>
      </c>
      <c r="X207" s="414">
        <v>0</v>
      </c>
      <c r="Y207" s="414" t="s">
        <v>1841</v>
      </c>
      <c r="Z207" s="414">
        <v>0</v>
      </c>
      <c r="AA207" s="61">
        <v>0</v>
      </c>
      <c r="AB207" s="61" t="s">
        <v>1842</v>
      </c>
      <c r="AC207" s="414">
        <v>0</v>
      </c>
      <c r="AD207" s="61">
        <f>5/10</f>
        <v>0.5</v>
      </c>
      <c r="AE207" s="61" t="s">
        <v>1843</v>
      </c>
      <c r="AF207" s="414">
        <v>0</v>
      </c>
      <c r="AG207" s="267">
        <v>0</v>
      </c>
      <c r="AH207" s="201" t="s">
        <v>1844</v>
      </c>
      <c r="AI207" s="414">
        <v>0</v>
      </c>
      <c r="AJ207" s="414">
        <f>2/R207</f>
        <v>0.2</v>
      </c>
      <c r="AK207" s="414" t="s">
        <v>1845</v>
      </c>
      <c r="AL207" s="414">
        <v>0</v>
      </c>
      <c r="AM207" s="414"/>
      <c r="AN207" s="414"/>
      <c r="AO207" s="414">
        <v>0</v>
      </c>
      <c r="AP207" s="414"/>
      <c r="AQ207" s="414"/>
      <c r="AR207" s="414">
        <v>4</v>
      </c>
      <c r="AS207" s="414"/>
      <c r="AT207" s="414"/>
      <c r="AU207" s="414">
        <v>3</v>
      </c>
      <c r="AV207" s="414"/>
      <c r="AW207" s="414"/>
      <c r="AX207" s="414">
        <v>9</v>
      </c>
      <c r="AY207" s="414"/>
      <c r="AZ207" s="414"/>
      <c r="BA207" s="414">
        <v>2</v>
      </c>
      <c r="BB207" s="142"/>
      <c r="BC207" s="142"/>
      <c r="BD207" s="413">
        <f t="shared" si="16"/>
        <v>0.1</v>
      </c>
      <c r="BE207" s="413">
        <f t="shared" si="17"/>
        <v>0.7</v>
      </c>
      <c r="BF207" s="60">
        <f t="shared" si="15"/>
        <v>6.9999999999999991</v>
      </c>
    </row>
    <row r="208" spans="2:59" s="2" customFormat="1" ht="85.5" hidden="1">
      <c r="B208" s="44" t="s">
        <v>255</v>
      </c>
      <c r="C208" s="27" t="s">
        <v>1846</v>
      </c>
      <c r="D208" s="664"/>
      <c r="E208" s="661"/>
      <c r="F208" s="661"/>
      <c r="G208" s="414" t="s">
        <v>1847</v>
      </c>
      <c r="H208" s="414" t="s">
        <v>472</v>
      </c>
      <c r="I208" s="414">
        <v>0.2</v>
      </c>
      <c r="J208" s="414" t="s">
        <v>254</v>
      </c>
      <c r="K208" s="414" t="s">
        <v>79</v>
      </c>
      <c r="L208" s="414" t="s">
        <v>72</v>
      </c>
      <c r="M208" s="414" t="s">
        <v>1820</v>
      </c>
      <c r="N208" s="414" t="s">
        <v>1821</v>
      </c>
      <c r="O208" s="59">
        <v>44197</v>
      </c>
      <c r="P208" s="59">
        <v>44561</v>
      </c>
      <c r="Q208" s="414">
        <f t="shared" si="14"/>
        <v>0.3</v>
      </c>
      <c r="R208" s="118">
        <v>1</v>
      </c>
      <c r="S208" s="142">
        <f t="shared" si="13"/>
        <v>0.99999999999999989</v>
      </c>
      <c r="T208" s="414">
        <v>0</v>
      </c>
      <c r="U208" s="414">
        <v>0</v>
      </c>
      <c r="V208" s="414" t="s">
        <v>1822</v>
      </c>
      <c r="W208" s="63">
        <v>0</v>
      </c>
      <c r="X208" s="73">
        <v>0</v>
      </c>
      <c r="Y208" s="414" t="s">
        <v>1848</v>
      </c>
      <c r="Z208" s="63">
        <v>0.1</v>
      </c>
      <c r="AA208" s="287">
        <v>0</v>
      </c>
      <c r="AB208" s="61" t="s">
        <v>1849</v>
      </c>
      <c r="AC208" s="63">
        <v>0.1</v>
      </c>
      <c r="AD208" s="287">
        <v>0.3</v>
      </c>
      <c r="AE208" s="61" t="s">
        <v>1850</v>
      </c>
      <c r="AF208" s="63">
        <v>0.1</v>
      </c>
      <c r="AG208" s="307">
        <v>0</v>
      </c>
      <c r="AH208" s="201" t="s">
        <v>1851</v>
      </c>
      <c r="AI208" s="63">
        <v>0.1</v>
      </c>
      <c r="AJ208" s="414">
        <v>0</v>
      </c>
      <c r="AK208" s="414" t="s">
        <v>1852</v>
      </c>
      <c r="AL208" s="63">
        <v>0.1</v>
      </c>
      <c r="AM208" s="414"/>
      <c r="AN208" s="414"/>
      <c r="AO208" s="63">
        <v>0.1</v>
      </c>
      <c r="AP208" s="414"/>
      <c r="AQ208" s="414"/>
      <c r="AR208" s="63">
        <v>0.1</v>
      </c>
      <c r="AS208" s="414"/>
      <c r="AT208" s="414"/>
      <c r="AU208" s="63">
        <v>0.1</v>
      </c>
      <c r="AV208" s="414"/>
      <c r="AW208" s="414"/>
      <c r="AX208" s="63">
        <v>0.1</v>
      </c>
      <c r="AY208" s="414"/>
      <c r="AZ208" s="414"/>
      <c r="BA208" s="63">
        <v>0.1</v>
      </c>
      <c r="BB208" s="142"/>
      <c r="BC208" s="142"/>
      <c r="BD208" s="413">
        <f t="shared" si="16"/>
        <v>0.4</v>
      </c>
      <c r="BE208" s="413">
        <f t="shared" si="17"/>
        <v>0.3</v>
      </c>
      <c r="BF208" s="60">
        <f t="shared" si="15"/>
        <v>0.74999999999999989</v>
      </c>
    </row>
    <row r="209" spans="2:59" s="2" customFormat="1" ht="84" hidden="1">
      <c r="B209" s="44" t="s">
        <v>255</v>
      </c>
      <c r="C209" s="27" t="s">
        <v>1853</v>
      </c>
      <c r="D209" s="664"/>
      <c r="E209" s="661"/>
      <c r="F209" s="661"/>
      <c r="G209" s="414" t="s">
        <v>1854</v>
      </c>
      <c r="H209" s="414" t="s">
        <v>472</v>
      </c>
      <c r="I209" s="414">
        <v>0.2</v>
      </c>
      <c r="J209" s="414" t="s">
        <v>254</v>
      </c>
      <c r="K209" s="414" t="s">
        <v>79</v>
      </c>
      <c r="L209" s="414" t="s">
        <v>358</v>
      </c>
      <c r="M209" s="414" t="s">
        <v>1820</v>
      </c>
      <c r="N209" s="414" t="s">
        <v>1821</v>
      </c>
      <c r="O209" s="59">
        <v>44197</v>
      </c>
      <c r="P209" s="59">
        <v>44561</v>
      </c>
      <c r="Q209" s="414">
        <f t="shared" si="14"/>
        <v>0.35</v>
      </c>
      <c r="R209" s="414">
        <v>1</v>
      </c>
      <c r="S209" s="142">
        <f t="shared" ref="S209:S273" si="18">+T209+W209+Z209+AC209+AF209+AI209+AL209+AO209+AR209+AU209+AX209+BA209</f>
        <v>0.99999999999999989</v>
      </c>
      <c r="T209" s="414">
        <v>0</v>
      </c>
      <c r="U209" s="414">
        <v>0</v>
      </c>
      <c r="V209" s="414" t="s">
        <v>1822</v>
      </c>
      <c r="W209" s="414">
        <v>0.1</v>
      </c>
      <c r="X209" s="63">
        <v>0</v>
      </c>
      <c r="Y209" s="414" t="s">
        <v>1855</v>
      </c>
      <c r="Z209" s="63">
        <v>0.1</v>
      </c>
      <c r="AA209" s="62">
        <v>0</v>
      </c>
      <c r="AB209" s="61" t="s">
        <v>1856</v>
      </c>
      <c r="AC209" s="414">
        <v>0</v>
      </c>
      <c r="AD209" s="62">
        <v>0.25</v>
      </c>
      <c r="AE209" s="61" t="s">
        <v>1857</v>
      </c>
      <c r="AF209" s="63">
        <v>0.1</v>
      </c>
      <c r="AG209" s="261">
        <v>0</v>
      </c>
      <c r="AH209" s="201" t="s">
        <v>1858</v>
      </c>
      <c r="AI209" s="63">
        <v>0.1</v>
      </c>
      <c r="AJ209" s="414">
        <v>0.1</v>
      </c>
      <c r="AK209" s="414" t="s">
        <v>1859</v>
      </c>
      <c r="AL209" s="414">
        <v>0</v>
      </c>
      <c r="AM209" s="414"/>
      <c r="AN209" s="414"/>
      <c r="AO209" s="63">
        <v>0.1</v>
      </c>
      <c r="AP209" s="414"/>
      <c r="AQ209" s="414"/>
      <c r="AR209" s="63">
        <v>0.1</v>
      </c>
      <c r="AS209" s="414"/>
      <c r="AT209" s="414"/>
      <c r="AU209" s="63">
        <v>0.1</v>
      </c>
      <c r="AV209" s="414"/>
      <c r="AW209" s="414"/>
      <c r="AX209" s="63">
        <v>0.2</v>
      </c>
      <c r="AY209" s="414"/>
      <c r="AZ209" s="414"/>
      <c r="BA209" s="63">
        <v>0.1</v>
      </c>
      <c r="BB209" s="142"/>
      <c r="BC209" s="142"/>
      <c r="BD209" s="413">
        <f t="shared" si="16"/>
        <v>0.4</v>
      </c>
      <c r="BE209" s="413">
        <f t="shared" si="17"/>
        <v>0.35</v>
      </c>
      <c r="BF209" s="60">
        <f t="shared" si="15"/>
        <v>0.87499999999999989</v>
      </c>
    </row>
    <row r="210" spans="2:59" s="2" customFormat="1" ht="41.25" hidden="1" customHeight="1">
      <c r="B210" s="44" t="s">
        <v>255</v>
      </c>
      <c r="C210" s="27" t="s">
        <v>1860</v>
      </c>
      <c r="D210" s="665"/>
      <c r="E210" s="662"/>
      <c r="F210" s="662"/>
      <c r="G210" s="415" t="s">
        <v>1861</v>
      </c>
      <c r="H210" s="415" t="s">
        <v>472</v>
      </c>
      <c r="I210" s="415">
        <v>0.2</v>
      </c>
      <c r="J210" s="415"/>
      <c r="K210" s="415" t="s">
        <v>73</v>
      </c>
      <c r="L210" s="415" t="s">
        <v>72</v>
      </c>
      <c r="M210" s="415" t="s">
        <v>1820</v>
      </c>
      <c r="N210" s="415" t="s">
        <v>1821</v>
      </c>
      <c r="O210" s="64">
        <v>44197</v>
      </c>
      <c r="P210" s="64">
        <v>44561</v>
      </c>
      <c r="Q210" s="415">
        <f t="shared" si="14"/>
        <v>0</v>
      </c>
      <c r="R210" s="415">
        <v>3</v>
      </c>
      <c r="S210" s="66">
        <f t="shared" si="18"/>
        <v>3</v>
      </c>
      <c r="T210" s="415">
        <v>0</v>
      </c>
      <c r="U210" s="415">
        <v>0</v>
      </c>
      <c r="V210" s="415" t="s">
        <v>1822</v>
      </c>
      <c r="W210" s="415">
        <v>0</v>
      </c>
      <c r="X210" s="203">
        <v>0</v>
      </c>
      <c r="Y210" s="415" t="s">
        <v>1822</v>
      </c>
      <c r="Z210" s="415">
        <v>0</v>
      </c>
      <c r="AA210" s="193">
        <v>0</v>
      </c>
      <c r="AB210" s="193" t="s">
        <v>1822</v>
      </c>
      <c r="AC210" s="415">
        <v>0</v>
      </c>
      <c r="AD210" s="193">
        <v>0</v>
      </c>
      <c r="AE210" s="193" t="s">
        <v>1822</v>
      </c>
      <c r="AF210" s="415">
        <v>0</v>
      </c>
      <c r="AG210" s="268">
        <v>0</v>
      </c>
      <c r="AH210" s="204" t="s">
        <v>1862</v>
      </c>
      <c r="AI210" s="415">
        <v>0</v>
      </c>
      <c r="AJ210" s="415">
        <v>0</v>
      </c>
      <c r="AK210" s="415" t="s">
        <v>1822</v>
      </c>
      <c r="AL210" s="415">
        <v>0</v>
      </c>
      <c r="AM210" s="415"/>
      <c r="AN210" s="415"/>
      <c r="AO210" s="415">
        <v>0</v>
      </c>
      <c r="AP210" s="415"/>
      <c r="AQ210" s="415"/>
      <c r="AR210" s="415">
        <v>0</v>
      </c>
      <c r="AS210" s="415"/>
      <c r="AT210" s="415"/>
      <c r="AU210" s="415">
        <v>0</v>
      </c>
      <c r="AV210" s="415"/>
      <c r="AW210" s="415"/>
      <c r="AX210" s="415">
        <v>0</v>
      </c>
      <c r="AY210" s="415"/>
      <c r="AZ210" s="415"/>
      <c r="BA210" s="415">
        <v>3</v>
      </c>
      <c r="BB210" s="66"/>
      <c r="BC210" s="66"/>
      <c r="BD210" s="413">
        <f t="shared" si="16"/>
        <v>0</v>
      </c>
      <c r="BE210" s="413">
        <f t="shared" si="17"/>
        <v>0</v>
      </c>
      <c r="BF210" s="67" t="str">
        <f t="shared" ref="BF210:BF274" si="19">+IF(BD210=0,+IF(BE210=0,"No programación, No avance",+IF(BE210&gt;0,+IF(BD210=0,BE210/R210))),BE210/BD210)</f>
        <v>No programación, No avance</v>
      </c>
    </row>
    <row r="211" spans="2:59" s="2" customFormat="1" ht="50.25" hidden="1" customHeight="1" thickBot="1">
      <c r="B211" s="44" t="s">
        <v>257</v>
      </c>
      <c r="C211" s="27" t="s">
        <v>1863</v>
      </c>
      <c r="D211" s="672" t="s">
        <v>22</v>
      </c>
      <c r="E211" s="409" t="s">
        <v>258</v>
      </c>
      <c r="F211" s="409" t="s">
        <v>1864</v>
      </c>
      <c r="G211" s="409" t="s">
        <v>259</v>
      </c>
      <c r="H211" s="409" t="s">
        <v>472</v>
      </c>
      <c r="I211" s="409">
        <v>1</v>
      </c>
      <c r="J211" s="409" t="s">
        <v>1865</v>
      </c>
      <c r="K211" s="409" t="s">
        <v>79</v>
      </c>
      <c r="L211" s="409" t="s">
        <v>358</v>
      </c>
      <c r="M211" s="409" t="s">
        <v>1866</v>
      </c>
      <c r="N211" s="409" t="s">
        <v>1867</v>
      </c>
      <c r="O211" s="37">
        <v>44197</v>
      </c>
      <c r="P211" s="37">
        <v>44561</v>
      </c>
      <c r="Q211" s="409">
        <f t="shared" ref="Q211:Q275" si="20">+U211+X211+AA211+AD211+AG211+AJ211+AM211+AP211+AS211+AV211+AY211+BB211</f>
        <v>0.7</v>
      </c>
      <c r="R211" s="409">
        <v>1</v>
      </c>
      <c r="S211" s="412">
        <f t="shared" si="18"/>
        <v>1</v>
      </c>
      <c r="T211" s="409">
        <v>0</v>
      </c>
      <c r="U211" s="409">
        <v>0</v>
      </c>
      <c r="V211" s="409" t="s">
        <v>1868</v>
      </c>
      <c r="W211" s="409">
        <v>0.15</v>
      </c>
      <c r="X211" s="289">
        <v>0.15</v>
      </c>
      <c r="Y211" s="409" t="s">
        <v>1869</v>
      </c>
      <c r="Z211" s="409">
        <v>0.15</v>
      </c>
      <c r="AA211" s="297">
        <v>0.15</v>
      </c>
      <c r="AB211" s="54" t="s">
        <v>1870</v>
      </c>
      <c r="AC211" s="409">
        <v>0.2</v>
      </c>
      <c r="AD211" s="345">
        <v>0.2</v>
      </c>
      <c r="AE211" s="346" t="s">
        <v>260</v>
      </c>
      <c r="AF211" s="409">
        <v>0.2</v>
      </c>
      <c r="AG211" s="308">
        <v>0.2</v>
      </c>
      <c r="AH211" s="155" t="s">
        <v>1871</v>
      </c>
      <c r="AI211" s="409">
        <v>0.15</v>
      </c>
      <c r="AJ211" s="409">
        <v>0</v>
      </c>
      <c r="AK211" s="409"/>
      <c r="AL211" s="409">
        <v>0.15</v>
      </c>
      <c r="AM211" s="409"/>
      <c r="AN211" s="409"/>
      <c r="AO211" s="409">
        <v>0</v>
      </c>
      <c r="AP211" s="409"/>
      <c r="AQ211" s="409"/>
      <c r="AR211" s="409">
        <v>0</v>
      </c>
      <c r="AS211" s="409"/>
      <c r="AT211" s="409"/>
      <c r="AU211" s="409">
        <v>0</v>
      </c>
      <c r="AV211" s="409"/>
      <c r="AW211" s="409"/>
      <c r="AX211" s="409">
        <v>0</v>
      </c>
      <c r="AY211" s="409"/>
      <c r="AZ211" s="409"/>
      <c r="BA211" s="175">
        <v>0</v>
      </c>
      <c r="BB211" s="412"/>
      <c r="BC211" s="412"/>
      <c r="BD211" s="413">
        <f t="shared" si="16"/>
        <v>0.85</v>
      </c>
      <c r="BE211" s="413">
        <f t="shared" si="17"/>
        <v>0.7</v>
      </c>
      <c r="BF211" s="46">
        <f t="shared" si="19"/>
        <v>0.82352941176470584</v>
      </c>
      <c r="BG211" s="2">
        <f>+AVERAGE(BF211:BF212)</f>
        <v>0.82352941176470584</v>
      </c>
    </row>
    <row r="212" spans="2:59" s="2" customFormat="1" ht="50.25" hidden="1" customHeight="1" thickBot="1">
      <c r="B212" s="44" t="s">
        <v>261</v>
      </c>
      <c r="C212" s="27" t="s">
        <v>1872</v>
      </c>
      <c r="D212" s="674"/>
      <c r="E212" s="411" t="s">
        <v>262</v>
      </c>
      <c r="F212" s="411" t="s">
        <v>1873</v>
      </c>
      <c r="G212" s="411" t="s">
        <v>1874</v>
      </c>
      <c r="H212" s="411" t="s">
        <v>472</v>
      </c>
      <c r="I212" s="411">
        <v>1</v>
      </c>
      <c r="J212" s="411" t="s">
        <v>1865</v>
      </c>
      <c r="K212" s="411" t="s">
        <v>79</v>
      </c>
      <c r="L212" s="411" t="s">
        <v>358</v>
      </c>
      <c r="M212" s="411" t="s">
        <v>1866</v>
      </c>
      <c r="N212" s="411" t="s">
        <v>1875</v>
      </c>
      <c r="O212" s="42">
        <v>44197</v>
      </c>
      <c r="P212" s="42">
        <v>44561</v>
      </c>
      <c r="Q212" s="411">
        <f t="shared" si="20"/>
        <v>0</v>
      </c>
      <c r="R212" s="411">
        <v>1</v>
      </c>
      <c r="S212" s="143">
        <f t="shared" si="18"/>
        <v>1</v>
      </c>
      <c r="T212" s="411">
        <v>0</v>
      </c>
      <c r="U212" s="411">
        <v>0</v>
      </c>
      <c r="V212" s="205" t="s">
        <v>263</v>
      </c>
      <c r="W212" s="411">
        <v>0</v>
      </c>
      <c r="X212" s="290">
        <v>0</v>
      </c>
      <c r="Y212" s="411" t="s">
        <v>263</v>
      </c>
      <c r="Z212" s="411">
        <v>0</v>
      </c>
      <c r="AA212" s="282">
        <v>0</v>
      </c>
      <c r="AB212" s="176" t="s">
        <v>263</v>
      </c>
      <c r="AC212" s="411">
        <v>0</v>
      </c>
      <c r="AD212" s="347">
        <v>0</v>
      </c>
      <c r="AE212" s="348" t="s">
        <v>263</v>
      </c>
      <c r="AF212" s="411">
        <v>0</v>
      </c>
      <c r="AG212" s="309">
        <v>0</v>
      </c>
      <c r="AH212" s="206" t="s">
        <v>263</v>
      </c>
      <c r="AI212" s="411">
        <v>0</v>
      </c>
      <c r="AJ212" s="411">
        <v>0</v>
      </c>
      <c r="AK212" s="411"/>
      <c r="AL212" s="411">
        <v>0</v>
      </c>
      <c r="AM212" s="411"/>
      <c r="AN212" s="411"/>
      <c r="AO212" s="411">
        <v>0.1</v>
      </c>
      <c r="AP212" s="411"/>
      <c r="AQ212" s="411"/>
      <c r="AR212" s="411">
        <v>0.25</v>
      </c>
      <c r="AS212" s="411"/>
      <c r="AT212" s="411"/>
      <c r="AU212" s="411">
        <v>0.25</v>
      </c>
      <c r="AV212" s="411"/>
      <c r="AW212" s="411"/>
      <c r="AX212" s="411">
        <v>0.4</v>
      </c>
      <c r="AY212" s="411"/>
      <c r="AZ212" s="411"/>
      <c r="BA212" s="192">
        <v>0</v>
      </c>
      <c r="BB212" s="143"/>
      <c r="BC212" s="143"/>
      <c r="BD212" s="413">
        <f t="shared" si="16"/>
        <v>0</v>
      </c>
      <c r="BE212" s="413">
        <f t="shared" si="17"/>
        <v>0</v>
      </c>
      <c r="BF212" s="52" t="str">
        <f t="shared" si="19"/>
        <v>No programación, No avance</v>
      </c>
    </row>
    <row r="213" spans="2:59" s="2" customFormat="1" ht="36" hidden="1" customHeight="1">
      <c r="B213" s="44" t="s">
        <v>264</v>
      </c>
      <c r="C213" s="27" t="s">
        <v>1876</v>
      </c>
      <c r="D213" s="663" t="s">
        <v>23</v>
      </c>
      <c r="E213" s="660" t="s">
        <v>265</v>
      </c>
      <c r="F213" s="660" t="s">
        <v>266</v>
      </c>
      <c r="G213" s="416" t="s">
        <v>1877</v>
      </c>
      <c r="H213" s="416" t="s">
        <v>1878</v>
      </c>
      <c r="I213" s="416">
        <v>0.11</v>
      </c>
      <c r="J213" s="416" t="s">
        <v>1879</v>
      </c>
      <c r="K213" s="416" t="s">
        <v>73</v>
      </c>
      <c r="L213" s="416" t="s">
        <v>127</v>
      </c>
      <c r="M213" s="416" t="s">
        <v>426</v>
      </c>
      <c r="N213" s="416" t="s">
        <v>426</v>
      </c>
      <c r="O213" s="74">
        <v>44197</v>
      </c>
      <c r="P213" s="74">
        <v>44561</v>
      </c>
      <c r="Q213" s="416">
        <f t="shared" si="20"/>
        <v>0</v>
      </c>
      <c r="R213" s="416">
        <v>1</v>
      </c>
      <c r="S213" s="141">
        <f t="shared" si="18"/>
        <v>1</v>
      </c>
      <c r="T213" s="416">
        <v>0</v>
      </c>
      <c r="U213" s="416">
        <v>0</v>
      </c>
      <c r="V213" s="416" t="s">
        <v>267</v>
      </c>
      <c r="W213" s="416">
        <v>0</v>
      </c>
      <c r="X213" s="416">
        <v>0</v>
      </c>
      <c r="Y213" s="416" t="s">
        <v>267</v>
      </c>
      <c r="Z213" s="416">
        <v>0</v>
      </c>
      <c r="AA213" s="79">
        <v>0</v>
      </c>
      <c r="AB213" s="79" t="s">
        <v>267</v>
      </c>
      <c r="AC213" s="416">
        <v>0</v>
      </c>
      <c r="AD213" s="79">
        <v>0</v>
      </c>
      <c r="AE213" s="79" t="s">
        <v>267</v>
      </c>
      <c r="AF213" s="416">
        <v>0</v>
      </c>
      <c r="AG213" s="245">
        <v>0</v>
      </c>
      <c r="AH213" s="169" t="s">
        <v>267</v>
      </c>
      <c r="AI213" s="416">
        <v>0</v>
      </c>
      <c r="AJ213" s="416">
        <v>0</v>
      </c>
      <c r="AK213" s="416" t="s">
        <v>267</v>
      </c>
      <c r="AL213" s="416">
        <v>1</v>
      </c>
      <c r="AM213" s="416"/>
      <c r="AN213" s="416"/>
      <c r="AO213" s="416">
        <v>0</v>
      </c>
      <c r="AP213" s="416"/>
      <c r="AQ213" s="416"/>
      <c r="AR213" s="416">
        <v>0</v>
      </c>
      <c r="AS213" s="416"/>
      <c r="AT213" s="416"/>
      <c r="AU213" s="416">
        <v>0</v>
      </c>
      <c r="AV213" s="416"/>
      <c r="AW213" s="416"/>
      <c r="AX213" s="416">
        <v>0</v>
      </c>
      <c r="AY213" s="416"/>
      <c r="AZ213" s="416"/>
      <c r="BA213" s="175">
        <v>0</v>
      </c>
      <c r="BB213" s="141"/>
      <c r="BC213" s="141"/>
      <c r="BD213" s="413">
        <f t="shared" si="16"/>
        <v>0</v>
      </c>
      <c r="BE213" s="413">
        <f t="shared" si="17"/>
        <v>0</v>
      </c>
      <c r="BF213" s="75" t="str">
        <f t="shared" si="19"/>
        <v>No programación, No avance</v>
      </c>
      <c r="BG213" s="2">
        <f>+AVERAGE(BF213:BF221)</f>
        <v>1</v>
      </c>
    </row>
    <row r="214" spans="2:59" s="2" customFormat="1" ht="48" hidden="1">
      <c r="B214" s="44" t="s">
        <v>264</v>
      </c>
      <c r="C214" s="27" t="s">
        <v>1880</v>
      </c>
      <c r="D214" s="664"/>
      <c r="E214" s="661"/>
      <c r="F214" s="661"/>
      <c r="G214" s="414" t="s">
        <v>1881</v>
      </c>
      <c r="H214" s="414" t="s">
        <v>1878</v>
      </c>
      <c r="I214" s="414">
        <v>0.11</v>
      </c>
      <c r="J214" s="414" t="s">
        <v>1879</v>
      </c>
      <c r="K214" s="414" t="s">
        <v>73</v>
      </c>
      <c r="L214" s="414" t="s">
        <v>127</v>
      </c>
      <c r="M214" s="414" t="s">
        <v>426</v>
      </c>
      <c r="N214" s="414" t="s">
        <v>426</v>
      </c>
      <c r="O214" s="59">
        <v>44197</v>
      </c>
      <c r="P214" s="59">
        <v>44561</v>
      </c>
      <c r="Q214" s="414">
        <f t="shared" si="20"/>
        <v>0</v>
      </c>
      <c r="R214" s="414">
        <v>1</v>
      </c>
      <c r="S214" s="142">
        <f t="shared" si="18"/>
        <v>1</v>
      </c>
      <c r="T214" s="414">
        <v>0</v>
      </c>
      <c r="U214" s="414">
        <v>0</v>
      </c>
      <c r="V214" s="414" t="s">
        <v>267</v>
      </c>
      <c r="W214" s="414">
        <v>0</v>
      </c>
      <c r="X214" s="414">
        <v>0</v>
      </c>
      <c r="Y214" s="414" t="s">
        <v>267</v>
      </c>
      <c r="Z214" s="414">
        <v>0</v>
      </c>
      <c r="AA214" s="61">
        <v>0</v>
      </c>
      <c r="AB214" s="61" t="s">
        <v>267</v>
      </c>
      <c r="AC214" s="414">
        <v>0</v>
      </c>
      <c r="AD214" s="61">
        <v>0</v>
      </c>
      <c r="AE214" s="61" t="s">
        <v>267</v>
      </c>
      <c r="AF214" s="414">
        <v>0</v>
      </c>
      <c r="AG214" s="214">
        <v>0</v>
      </c>
      <c r="AH214" s="180" t="s">
        <v>267</v>
      </c>
      <c r="AI214" s="414">
        <v>0</v>
      </c>
      <c r="AJ214" s="414">
        <v>0</v>
      </c>
      <c r="AK214" s="414" t="s">
        <v>267</v>
      </c>
      <c r="AL214" s="414">
        <v>1</v>
      </c>
      <c r="AM214" s="414"/>
      <c r="AN214" s="414"/>
      <c r="AO214" s="414">
        <v>0</v>
      </c>
      <c r="AP214" s="414"/>
      <c r="AQ214" s="414"/>
      <c r="AR214" s="414">
        <v>0</v>
      </c>
      <c r="AS214" s="414"/>
      <c r="AT214" s="414"/>
      <c r="AU214" s="414">
        <v>0</v>
      </c>
      <c r="AV214" s="414"/>
      <c r="AW214" s="414"/>
      <c r="AX214" s="414">
        <v>0</v>
      </c>
      <c r="AY214" s="414"/>
      <c r="AZ214" s="414"/>
      <c r="BA214" s="137">
        <v>0</v>
      </c>
      <c r="BB214" s="142"/>
      <c r="BC214" s="142"/>
      <c r="BD214" s="413">
        <f t="shared" si="16"/>
        <v>0</v>
      </c>
      <c r="BE214" s="413">
        <f t="shared" si="17"/>
        <v>0</v>
      </c>
      <c r="BF214" s="60" t="str">
        <f t="shared" si="19"/>
        <v>No programación, No avance</v>
      </c>
    </row>
    <row r="215" spans="2:59" s="2" customFormat="1" ht="48" hidden="1">
      <c r="B215" s="44" t="s">
        <v>264</v>
      </c>
      <c r="C215" s="27" t="s">
        <v>1882</v>
      </c>
      <c r="D215" s="664"/>
      <c r="E215" s="661"/>
      <c r="F215" s="661"/>
      <c r="G215" s="414" t="s">
        <v>1883</v>
      </c>
      <c r="H215" s="414" t="s">
        <v>1878</v>
      </c>
      <c r="I215" s="414">
        <v>0.11</v>
      </c>
      <c r="J215" s="414" t="s">
        <v>1879</v>
      </c>
      <c r="K215" s="414" t="s">
        <v>73</v>
      </c>
      <c r="L215" s="414" t="s">
        <v>127</v>
      </c>
      <c r="M215" s="414" t="s">
        <v>426</v>
      </c>
      <c r="N215" s="414" t="s">
        <v>426</v>
      </c>
      <c r="O215" s="59">
        <v>44197</v>
      </c>
      <c r="P215" s="59">
        <v>44561</v>
      </c>
      <c r="Q215" s="414">
        <f t="shared" si="20"/>
        <v>0</v>
      </c>
      <c r="R215" s="414">
        <v>1</v>
      </c>
      <c r="S215" s="142">
        <f t="shared" si="18"/>
        <v>1</v>
      </c>
      <c r="T215" s="414">
        <v>0</v>
      </c>
      <c r="U215" s="414">
        <v>0</v>
      </c>
      <c r="V215" s="414" t="s">
        <v>267</v>
      </c>
      <c r="W215" s="414">
        <v>0</v>
      </c>
      <c r="X215" s="414">
        <v>0</v>
      </c>
      <c r="Y215" s="414" t="s">
        <v>267</v>
      </c>
      <c r="Z215" s="414">
        <v>0</v>
      </c>
      <c r="AA215" s="61">
        <v>0</v>
      </c>
      <c r="AB215" s="61" t="s">
        <v>267</v>
      </c>
      <c r="AC215" s="414">
        <v>0</v>
      </c>
      <c r="AD215" s="61">
        <v>0</v>
      </c>
      <c r="AE215" s="61" t="s">
        <v>267</v>
      </c>
      <c r="AF215" s="414">
        <v>0</v>
      </c>
      <c r="AG215" s="214">
        <v>0</v>
      </c>
      <c r="AH215" s="180" t="s">
        <v>267</v>
      </c>
      <c r="AI215" s="414">
        <v>0</v>
      </c>
      <c r="AJ215" s="414">
        <v>0</v>
      </c>
      <c r="AK215" s="414" t="s">
        <v>267</v>
      </c>
      <c r="AL215" s="414">
        <v>1</v>
      </c>
      <c r="AM215" s="414"/>
      <c r="AN215" s="414"/>
      <c r="AO215" s="414">
        <v>0</v>
      </c>
      <c r="AP215" s="414"/>
      <c r="AQ215" s="414"/>
      <c r="AR215" s="414">
        <v>0</v>
      </c>
      <c r="AS215" s="414"/>
      <c r="AT215" s="414"/>
      <c r="AU215" s="414">
        <v>0</v>
      </c>
      <c r="AV215" s="414"/>
      <c r="AW215" s="414"/>
      <c r="AX215" s="414">
        <v>0</v>
      </c>
      <c r="AY215" s="414"/>
      <c r="AZ215" s="414"/>
      <c r="BA215" s="137">
        <v>0</v>
      </c>
      <c r="BB215" s="142"/>
      <c r="BC215" s="142"/>
      <c r="BD215" s="413">
        <f t="shared" si="16"/>
        <v>0</v>
      </c>
      <c r="BE215" s="413">
        <f t="shared" si="17"/>
        <v>0</v>
      </c>
      <c r="BF215" s="60" t="str">
        <f t="shared" si="19"/>
        <v>No programación, No avance</v>
      </c>
    </row>
    <row r="216" spans="2:59" s="2" customFormat="1" ht="96" hidden="1">
      <c r="B216" s="44" t="s">
        <v>264</v>
      </c>
      <c r="C216" s="27" t="s">
        <v>1884</v>
      </c>
      <c r="D216" s="664"/>
      <c r="E216" s="661"/>
      <c r="F216" s="661"/>
      <c r="G216" s="414" t="s">
        <v>1885</v>
      </c>
      <c r="H216" s="414" t="s">
        <v>1878</v>
      </c>
      <c r="I216" s="414">
        <v>0.11</v>
      </c>
      <c r="J216" s="414" t="s">
        <v>1879</v>
      </c>
      <c r="K216" s="414" t="s">
        <v>73</v>
      </c>
      <c r="L216" s="414" t="s">
        <v>127</v>
      </c>
      <c r="M216" s="414" t="s">
        <v>426</v>
      </c>
      <c r="N216" s="414" t="s">
        <v>426</v>
      </c>
      <c r="O216" s="59">
        <v>44197</v>
      </c>
      <c r="P216" s="59">
        <v>44561</v>
      </c>
      <c r="Q216" s="414">
        <f t="shared" si="20"/>
        <v>1</v>
      </c>
      <c r="R216" s="414">
        <v>1</v>
      </c>
      <c r="S216" s="142">
        <f t="shared" si="18"/>
        <v>1</v>
      </c>
      <c r="T216" s="414">
        <v>0</v>
      </c>
      <c r="U216" s="414">
        <v>0</v>
      </c>
      <c r="V216" s="414" t="s">
        <v>267</v>
      </c>
      <c r="W216" s="414">
        <v>0</v>
      </c>
      <c r="X216" s="414">
        <v>0</v>
      </c>
      <c r="Y216" s="414" t="s">
        <v>267</v>
      </c>
      <c r="Z216" s="414">
        <v>0</v>
      </c>
      <c r="AA216" s="61">
        <v>0</v>
      </c>
      <c r="AB216" s="61" t="s">
        <v>267</v>
      </c>
      <c r="AC216" s="414">
        <v>0</v>
      </c>
      <c r="AD216" s="61">
        <v>0</v>
      </c>
      <c r="AE216" s="61" t="s">
        <v>267</v>
      </c>
      <c r="AF216" s="414">
        <v>0</v>
      </c>
      <c r="AG216" s="214">
        <v>0</v>
      </c>
      <c r="AH216" s="180" t="s">
        <v>267</v>
      </c>
      <c r="AI216" s="414">
        <v>0</v>
      </c>
      <c r="AJ216" s="414">
        <v>1</v>
      </c>
      <c r="AK216" s="414" t="s">
        <v>1886</v>
      </c>
      <c r="AL216" s="414">
        <v>1</v>
      </c>
      <c r="AM216" s="414"/>
      <c r="AN216" s="414"/>
      <c r="AO216" s="414">
        <v>0</v>
      </c>
      <c r="AP216" s="414"/>
      <c r="AQ216" s="414"/>
      <c r="AR216" s="414">
        <v>0</v>
      </c>
      <c r="AS216" s="414"/>
      <c r="AT216" s="414"/>
      <c r="AU216" s="414">
        <v>0</v>
      </c>
      <c r="AV216" s="414"/>
      <c r="AW216" s="414"/>
      <c r="AX216" s="414">
        <v>0</v>
      </c>
      <c r="AY216" s="414"/>
      <c r="AZ216" s="414"/>
      <c r="BA216" s="137">
        <v>0</v>
      </c>
      <c r="BB216" s="142"/>
      <c r="BC216" s="142"/>
      <c r="BD216" s="413">
        <f t="shared" si="16"/>
        <v>0</v>
      </c>
      <c r="BE216" s="413">
        <f t="shared" si="17"/>
        <v>1</v>
      </c>
      <c r="BF216" s="60">
        <f t="shared" si="19"/>
        <v>1</v>
      </c>
    </row>
    <row r="217" spans="2:59" s="2" customFormat="1" ht="48" hidden="1">
      <c r="B217" s="44" t="s">
        <v>264</v>
      </c>
      <c r="C217" s="27" t="s">
        <v>1887</v>
      </c>
      <c r="D217" s="664"/>
      <c r="E217" s="661"/>
      <c r="F217" s="661"/>
      <c r="G217" s="414" t="s">
        <v>1888</v>
      </c>
      <c r="H217" s="414" t="s">
        <v>1878</v>
      </c>
      <c r="I217" s="414">
        <v>0.11</v>
      </c>
      <c r="J217" s="414" t="s">
        <v>1879</v>
      </c>
      <c r="K217" s="414" t="s">
        <v>73</v>
      </c>
      <c r="L217" s="414" t="s">
        <v>127</v>
      </c>
      <c r="M217" s="414" t="s">
        <v>426</v>
      </c>
      <c r="N217" s="414" t="s">
        <v>426</v>
      </c>
      <c r="O217" s="59">
        <v>44197</v>
      </c>
      <c r="P217" s="59">
        <v>44561</v>
      </c>
      <c r="Q217" s="414">
        <f t="shared" si="20"/>
        <v>0</v>
      </c>
      <c r="R217" s="414">
        <v>1</v>
      </c>
      <c r="S217" s="142">
        <f t="shared" si="18"/>
        <v>1</v>
      </c>
      <c r="T217" s="414">
        <v>0</v>
      </c>
      <c r="U217" s="414">
        <v>0</v>
      </c>
      <c r="V217" s="414" t="s">
        <v>267</v>
      </c>
      <c r="W217" s="414">
        <v>0</v>
      </c>
      <c r="X217" s="414">
        <v>0</v>
      </c>
      <c r="Y217" s="414" t="s">
        <v>267</v>
      </c>
      <c r="Z217" s="414">
        <v>0</v>
      </c>
      <c r="AA217" s="61">
        <v>0</v>
      </c>
      <c r="AB217" s="61" t="s">
        <v>267</v>
      </c>
      <c r="AC217" s="414">
        <v>0</v>
      </c>
      <c r="AD217" s="61">
        <v>0</v>
      </c>
      <c r="AE217" s="61" t="s">
        <v>267</v>
      </c>
      <c r="AF217" s="414">
        <v>0</v>
      </c>
      <c r="AG217" s="214">
        <v>0</v>
      </c>
      <c r="AH217" s="180" t="s">
        <v>267</v>
      </c>
      <c r="AI217" s="414">
        <v>0</v>
      </c>
      <c r="AJ217" s="414">
        <v>0</v>
      </c>
      <c r="AK217" s="414" t="s">
        <v>267</v>
      </c>
      <c r="AL217" s="414">
        <v>1</v>
      </c>
      <c r="AM217" s="414"/>
      <c r="AN217" s="414"/>
      <c r="AO217" s="414">
        <v>0</v>
      </c>
      <c r="AP217" s="414"/>
      <c r="AQ217" s="414"/>
      <c r="AR217" s="414">
        <v>0</v>
      </c>
      <c r="AS217" s="414"/>
      <c r="AT217" s="414"/>
      <c r="AU217" s="414">
        <v>0</v>
      </c>
      <c r="AV217" s="414"/>
      <c r="AW217" s="414"/>
      <c r="AX217" s="414">
        <v>0</v>
      </c>
      <c r="AY217" s="414"/>
      <c r="AZ217" s="414"/>
      <c r="BA217" s="137">
        <v>0</v>
      </c>
      <c r="BB217" s="142"/>
      <c r="BC217" s="142"/>
      <c r="BD217" s="413">
        <f t="shared" si="16"/>
        <v>0</v>
      </c>
      <c r="BE217" s="413">
        <f t="shared" si="17"/>
        <v>0</v>
      </c>
      <c r="BF217" s="60" t="str">
        <f t="shared" si="19"/>
        <v>No programación, No avance</v>
      </c>
    </row>
    <row r="218" spans="2:59" s="2" customFormat="1" ht="60" hidden="1">
      <c r="B218" s="44" t="s">
        <v>264</v>
      </c>
      <c r="C218" s="27" t="s">
        <v>1889</v>
      </c>
      <c r="D218" s="664"/>
      <c r="E218" s="661"/>
      <c r="F218" s="661"/>
      <c r="G218" s="414" t="s">
        <v>1890</v>
      </c>
      <c r="H218" s="414" t="s">
        <v>1878</v>
      </c>
      <c r="I218" s="414">
        <v>0.11</v>
      </c>
      <c r="J218" s="414" t="s">
        <v>1879</v>
      </c>
      <c r="K218" s="414" t="s">
        <v>73</v>
      </c>
      <c r="L218" s="414" t="s">
        <v>127</v>
      </c>
      <c r="M218" s="414" t="s">
        <v>426</v>
      </c>
      <c r="N218" s="414" t="s">
        <v>426</v>
      </c>
      <c r="O218" s="59">
        <v>44197</v>
      </c>
      <c r="P218" s="59">
        <v>44561</v>
      </c>
      <c r="Q218" s="414">
        <f t="shared" si="20"/>
        <v>0</v>
      </c>
      <c r="R218" s="414">
        <v>1</v>
      </c>
      <c r="S218" s="142">
        <f t="shared" si="18"/>
        <v>1</v>
      </c>
      <c r="T218" s="414">
        <v>0</v>
      </c>
      <c r="U218" s="414">
        <v>0</v>
      </c>
      <c r="V218" s="414" t="s">
        <v>267</v>
      </c>
      <c r="W218" s="414">
        <v>0</v>
      </c>
      <c r="X218" s="414">
        <v>0</v>
      </c>
      <c r="Y218" s="414" t="s">
        <v>267</v>
      </c>
      <c r="Z218" s="414">
        <v>0</v>
      </c>
      <c r="AA218" s="61">
        <v>0</v>
      </c>
      <c r="AB218" s="61" t="s">
        <v>267</v>
      </c>
      <c r="AC218" s="414">
        <v>0</v>
      </c>
      <c r="AD218" s="61">
        <v>0</v>
      </c>
      <c r="AE218" s="61" t="s">
        <v>267</v>
      </c>
      <c r="AF218" s="414">
        <v>0</v>
      </c>
      <c r="AG218" s="214">
        <v>0</v>
      </c>
      <c r="AH218" s="180" t="s">
        <v>267</v>
      </c>
      <c r="AI218" s="414">
        <v>0</v>
      </c>
      <c r="AJ218" s="414">
        <v>0</v>
      </c>
      <c r="AK218" s="414" t="s">
        <v>267</v>
      </c>
      <c r="AL218" s="414">
        <v>1</v>
      </c>
      <c r="AM218" s="414"/>
      <c r="AN218" s="414"/>
      <c r="AO218" s="414">
        <v>0</v>
      </c>
      <c r="AP218" s="414"/>
      <c r="AQ218" s="414"/>
      <c r="AR218" s="414">
        <v>0</v>
      </c>
      <c r="AS218" s="414"/>
      <c r="AT218" s="414"/>
      <c r="AU218" s="414">
        <v>0</v>
      </c>
      <c r="AV218" s="414"/>
      <c r="AW218" s="414"/>
      <c r="AX218" s="414">
        <v>0</v>
      </c>
      <c r="AY218" s="414"/>
      <c r="AZ218" s="414"/>
      <c r="BA218" s="137">
        <v>0</v>
      </c>
      <c r="BB218" s="142"/>
      <c r="BC218" s="142"/>
      <c r="BD218" s="413">
        <f t="shared" si="16"/>
        <v>0</v>
      </c>
      <c r="BE218" s="413">
        <f t="shared" si="17"/>
        <v>0</v>
      </c>
      <c r="BF218" s="60" t="str">
        <f t="shared" si="19"/>
        <v>No programación, No avance</v>
      </c>
    </row>
    <row r="219" spans="2:59" s="2" customFormat="1" ht="48" hidden="1">
      <c r="B219" s="44" t="s">
        <v>264</v>
      </c>
      <c r="C219" s="27" t="s">
        <v>1891</v>
      </c>
      <c r="D219" s="664"/>
      <c r="E219" s="661"/>
      <c r="F219" s="661"/>
      <c r="G219" s="414" t="s">
        <v>1892</v>
      </c>
      <c r="H219" s="414" t="s">
        <v>1878</v>
      </c>
      <c r="I219" s="414">
        <v>0.11</v>
      </c>
      <c r="J219" s="414" t="s">
        <v>1879</v>
      </c>
      <c r="K219" s="414" t="s">
        <v>73</v>
      </c>
      <c r="L219" s="414" t="s">
        <v>127</v>
      </c>
      <c r="M219" s="414" t="s">
        <v>426</v>
      </c>
      <c r="N219" s="414" t="s">
        <v>426</v>
      </c>
      <c r="O219" s="59">
        <v>44197</v>
      </c>
      <c r="P219" s="59">
        <v>44561</v>
      </c>
      <c r="Q219" s="414">
        <f t="shared" si="20"/>
        <v>0</v>
      </c>
      <c r="R219" s="414">
        <v>1</v>
      </c>
      <c r="S219" s="142">
        <f t="shared" si="18"/>
        <v>1</v>
      </c>
      <c r="T219" s="414">
        <v>0</v>
      </c>
      <c r="U219" s="414">
        <v>0</v>
      </c>
      <c r="V219" s="414" t="s">
        <v>267</v>
      </c>
      <c r="W219" s="414">
        <v>0</v>
      </c>
      <c r="X219" s="414">
        <v>0</v>
      </c>
      <c r="Y219" s="414" t="s">
        <v>267</v>
      </c>
      <c r="Z219" s="414">
        <v>0</v>
      </c>
      <c r="AA219" s="61">
        <v>0</v>
      </c>
      <c r="AB219" s="61" t="s">
        <v>267</v>
      </c>
      <c r="AC219" s="414">
        <v>0</v>
      </c>
      <c r="AD219" s="61">
        <v>0</v>
      </c>
      <c r="AE219" s="61" t="s">
        <v>267</v>
      </c>
      <c r="AF219" s="414">
        <v>0</v>
      </c>
      <c r="AG219" s="214">
        <v>0</v>
      </c>
      <c r="AH219" s="180" t="s">
        <v>267</v>
      </c>
      <c r="AI219" s="414">
        <v>0</v>
      </c>
      <c r="AJ219" s="414">
        <v>0</v>
      </c>
      <c r="AK219" s="414" t="s">
        <v>267</v>
      </c>
      <c r="AL219" s="414">
        <v>1</v>
      </c>
      <c r="AM219" s="414"/>
      <c r="AN219" s="414"/>
      <c r="AO219" s="414">
        <v>0</v>
      </c>
      <c r="AP219" s="414"/>
      <c r="AQ219" s="414"/>
      <c r="AR219" s="414">
        <v>0</v>
      </c>
      <c r="AS219" s="414"/>
      <c r="AT219" s="414"/>
      <c r="AU219" s="414">
        <v>0</v>
      </c>
      <c r="AV219" s="414"/>
      <c r="AW219" s="414"/>
      <c r="AX219" s="414">
        <v>0</v>
      </c>
      <c r="AY219" s="414"/>
      <c r="AZ219" s="414"/>
      <c r="BA219" s="137">
        <v>0</v>
      </c>
      <c r="BB219" s="142"/>
      <c r="BC219" s="142"/>
      <c r="BD219" s="413">
        <f t="shared" si="16"/>
        <v>0</v>
      </c>
      <c r="BE219" s="413">
        <f t="shared" si="17"/>
        <v>0</v>
      </c>
      <c r="BF219" s="60" t="str">
        <f t="shared" si="19"/>
        <v>No programación, No avance</v>
      </c>
    </row>
    <row r="220" spans="2:59" s="2" customFormat="1" ht="84" hidden="1">
      <c r="B220" s="44" t="s">
        <v>264</v>
      </c>
      <c r="C220" s="27" t="s">
        <v>1893</v>
      </c>
      <c r="D220" s="664"/>
      <c r="E220" s="661"/>
      <c r="F220" s="661"/>
      <c r="G220" s="414" t="s">
        <v>1894</v>
      </c>
      <c r="H220" s="414" t="s">
        <v>1878</v>
      </c>
      <c r="I220" s="414">
        <v>0.11</v>
      </c>
      <c r="J220" s="414" t="s">
        <v>1879</v>
      </c>
      <c r="K220" s="414" t="s">
        <v>73</v>
      </c>
      <c r="L220" s="414" t="s">
        <v>127</v>
      </c>
      <c r="M220" s="414" t="s">
        <v>426</v>
      </c>
      <c r="N220" s="414" t="s">
        <v>426</v>
      </c>
      <c r="O220" s="59">
        <v>44197</v>
      </c>
      <c r="P220" s="59">
        <v>44561</v>
      </c>
      <c r="Q220" s="414">
        <f t="shared" si="20"/>
        <v>0</v>
      </c>
      <c r="R220" s="414">
        <v>1</v>
      </c>
      <c r="S220" s="142">
        <f t="shared" si="18"/>
        <v>1</v>
      </c>
      <c r="T220" s="414">
        <v>0</v>
      </c>
      <c r="U220" s="414">
        <v>0</v>
      </c>
      <c r="V220" s="414" t="s">
        <v>267</v>
      </c>
      <c r="W220" s="414">
        <v>0</v>
      </c>
      <c r="X220" s="414">
        <v>0</v>
      </c>
      <c r="Y220" s="414" t="s">
        <v>267</v>
      </c>
      <c r="Z220" s="414">
        <v>0</v>
      </c>
      <c r="AA220" s="61">
        <v>0</v>
      </c>
      <c r="AB220" s="61" t="s">
        <v>267</v>
      </c>
      <c r="AC220" s="414">
        <v>0</v>
      </c>
      <c r="AD220" s="61">
        <v>0</v>
      </c>
      <c r="AE220" s="61" t="s">
        <v>267</v>
      </c>
      <c r="AF220" s="414">
        <v>0</v>
      </c>
      <c r="AG220" s="214">
        <v>0</v>
      </c>
      <c r="AH220" s="180" t="s">
        <v>267</v>
      </c>
      <c r="AI220" s="414">
        <v>0</v>
      </c>
      <c r="AJ220" s="414">
        <v>0</v>
      </c>
      <c r="AK220" s="414" t="s">
        <v>267</v>
      </c>
      <c r="AL220" s="414">
        <v>1</v>
      </c>
      <c r="AM220" s="414"/>
      <c r="AN220" s="414"/>
      <c r="AO220" s="414">
        <v>0</v>
      </c>
      <c r="AP220" s="414"/>
      <c r="AQ220" s="414"/>
      <c r="AR220" s="414">
        <v>0</v>
      </c>
      <c r="AS220" s="414"/>
      <c r="AT220" s="414"/>
      <c r="AU220" s="414">
        <v>0</v>
      </c>
      <c r="AV220" s="414"/>
      <c r="AW220" s="414"/>
      <c r="AX220" s="414">
        <v>0</v>
      </c>
      <c r="AY220" s="414"/>
      <c r="AZ220" s="414"/>
      <c r="BA220" s="137">
        <v>0</v>
      </c>
      <c r="BB220" s="142"/>
      <c r="BC220" s="142"/>
      <c r="BD220" s="413">
        <f t="shared" si="16"/>
        <v>0</v>
      </c>
      <c r="BE220" s="413">
        <f t="shared" si="17"/>
        <v>0</v>
      </c>
      <c r="BF220" s="60" t="str">
        <f t="shared" si="19"/>
        <v>No programación, No avance</v>
      </c>
    </row>
    <row r="221" spans="2:59" s="2" customFormat="1" ht="60" hidden="1">
      <c r="B221" s="44" t="s">
        <v>264</v>
      </c>
      <c r="C221" s="27" t="s">
        <v>1895</v>
      </c>
      <c r="D221" s="665"/>
      <c r="E221" s="662"/>
      <c r="F221" s="662"/>
      <c r="G221" s="415" t="s">
        <v>1896</v>
      </c>
      <c r="H221" s="415" t="s">
        <v>1878</v>
      </c>
      <c r="I221" s="415">
        <v>0.12</v>
      </c>
      <c r="J221" s="415" t="s">
        <v>1879</v>
      </c>
      <c r="K221" s="415" t="s">
        <v>73</v>
      </c>
      <c r="L221" s="415" t="s">
        <v>127</v>
      </c>
      <c r="M221" s="415" t="s">
        <v>426</v>
      </c>
      <c r="N221" s="415" t="s">
        <v>426</v>
      </c>
      <c r="O221" s="64">
        <v>44197</v>
      </c>
      <c r="P221" s="64">
        <v>44561</v>
      </c>
      <c r="Q221" s="415">
        <f t="shared" si="20"/>
        <v>0</v>
      </c>
      <c r="R221" s="415">
        <v>1</v>
      </c>
      <c r="S221" s="66">
        <f t="shared" si="18"/>
        <v>1</v>
      </c>
      <c r="T221" s="415">
        <v>0</v>
      </c>
      <c r="U221" s="415">
        <v>0</v>
      </c>
      <c r="V221" s="415"/>
      <c r="W221" s="415">
        <v>0</v>
      </c>
      <c r="X221" s="415">
        <v>0</v>
      </c>
      <c r="Y221" s="415" t="s">
        <v>267</v>
      </c>
      <c r="Z221" s="415">
        <v>0</v>
      </c>
      <c r="AA221" s="193">
        <v>0</v>
      </c>
      <c r="AB221" s="193" t="s">
        <v>267</v>
      </c>
      <c r="AC221" s="415">
        <v>0</v>
      </c>
      <c r="AD221" s="193">
        <v>0</v>
      </c>
      <c r="AE221" s="193" t="s">
        <v>267</v>
      </c>
      <c r="AF221" s="415">
        <v>0</v>
      </c>
      <c r="AG221" s="239">
        <v>0</v>
      </c>
      <c r="AH221" s="129" t="s">
        <v>267</v>
      </c>
      <c r="AI221" s="415">
        <v>0</v>
      </c>
      <c r="AJ221" s="415">
        <v>0</v>
      </c>
      <c r="AK221" s="415" t="s">
        <v>267</v>
      </c>
      <c r="AL221" s="415">
        <v>1</v>
      </c>
      <c r="AM221" s="415"/>
      <c r="AN221" s="415"/>
      <c r="AO221" s="415">
        <v>0</v>
      </c>
      <c r="AP221" s="415"/>
      <c r="AQ221" s="415"/>
      <c r="AR221" s="415">
        <v>0</v>
      </c>
      <c r="AS221" s="415"/>
      <c r="AT221" s="415"/>
      <c r="AU221" s="415">
        <v>0</v>
      </c>
      <c r="AV221" s="415"/>
      <c r="AW221" s="415"/>
      <c r="AX221" s="415">
        <v>0</v>
      </c>
      <c r="AY221" s="415"/>
      <c r="AZ221" s="415"/>
      <c r="BA221" s="192">
        <v>0</v>
      </c>
      <c r="BB221" s="66"/>
      <c r="BC221" s="66"/>
      <c r="BD221" s="413">
        <f t="shared" si="16"/>
        <v>0</v>
      </c>
      <c r="BE221" s="413">
        <f t="shared" si="17"/>
        <v>0</v>
      </c>
      <c r="BF221" s="67" t="str">
        <f t="shared" si="19"/>
        <v>No programación, No avance</v>
      </c>
    </row>
    <row r="222" spans="2:59" s="2" customFormat="1" ht="72" hidden="1" customHeight="1">
      <c r="B222" s="44" t="s">
        <v>268</v>
      </c>
      <c r="C222" s="27" t="s">
        <v>1897</v>
      </c>
      <c r="D222" s="672" t="s">
        <v>24</v>
      </c>
      <c r="E222" s="647" t="s">
        <v>269</v>
      </c>
      <c r="F222" s="647" t="s">
        <v>1898</v>
      </c>
      <c r="G222" s="409" t="s">
        <v>1899</v>
      </c>
      <c r="H222" s="409" t="s">
        <v>472</v>
      </c>
      <c r="I222" s="409">
        <v>0.1</v>
      </c>
      <c r="J222" s="409" t="s">
        <v>271</v>
      </c>
      <c r="K222" s="409" t="s">
        <v>79</v>
      </c>
      <c r="L222" s="409" t="s">
        <v>78</v>
      </c>
      <c r="M222" s="409" t="s">
        <v>712</v>
      </c>
      <c r="N222" s="409" t="s">
        <v>1900</v>
      </c>
      <c r="O222" s="37">
        <v>44197</v>
      </c>
      <c r="P222" s="37">
        <v>44561</v>
      </c>
      <c r="Q222" s="409">
        <f t="shared" si="20"/>
        <v>0.7</v>
      </c>
      <c r="R222" s="409">
        <v>1</v>
      </c>
      <c r="S222" s="412">
        <f t="shared" si="18"/>
        <v>1</v>
      </c>
      <c r="T222" s="409">
        <v>0</v>
      </c>
      <c r="U222" s="121">
        <v>0</v>
      </c>
      <c r="V222" s="409" t="s">
        <v>1901</v>
      </c>
      <c r="W222" s="409">
        <v>0</v>
      </c>
      <c r="X222" s="289">
        <v>0</v>
      </c>
      <c r="Y222" s="409" t="s">
        <v>1902</v>
      </c>
      <c r="Z222" s="409">
        <v>0</v>
      </c>
      <c r="AA222" s="297">
        <v>0</v>
      </c>
      <c r="AB222" s="54" t="s">
        <v>1903</v>
      </c>
      <c r="AC222" s="409">
        <v>1</v>
      </c>
      <c r="AD222" s="349">
        <v>0</v>
      </c>
      <c r="AE222" s="350" t="s">
        <v>1904</v>
      </c>
      <c r="AF222" s="409">
        <v>0</v>
      </c>
      <c r="AG222" s="312">
        <v>0</v>
      </c>
      <c r="AH222" s="174" t="s">
        <v>1905</v>
      </c>
      <c r="AI222" s="409">
        <v>0</v>
      </c>
      <c r="AJ222" s="409">
        <v>0.7</v>
      </c>
      <c r="AK222" s="409" t="s">
        <v>1906</v>
      </c>
      <c r="AL222" s="409">
        <v>0</v>
      </c>
      <c r="AM222" s="409"/>
      <c r="AN222" s="409"/>
      <c r="AO222" s="409">
        <v>0</v>
      </c>
      <c r="AP222" s="409"/>
      <c r="AQ222" s="409"/>
      <c r="AR222" s="409">
        <v>0</v>
      </c>
      <c r="AS222" s="409"/>
      <c r="AT222" s="409"/>
      <c r="AU222" s="409">
        <v>0</v>
      </c>
      <c r="AV222" s="409"/>
      <c r="AW222" s="409"/>
      <c r="AX222" s="409">
        <v>0</v>
      </c>
      <c r="AY222" s="409"/>
      <c r="AZ222" s="409"/>
      <c r="BA222" s="175">
        <v>0</v>
      </c>
      <c r="BB222" s="412"/>
      <c r="BC222" s="412"/>
      <c r="BD222" s="413">
        <f t="shared" si="16"/>
        <v>1</v>
      </c>
      <c r="BE222" s="413">
        <f t="shared" si="17"/>
        <v>0.7</v>
      </c>
      <c r="BF222" s="46">
        <f t="shared" si="19"/>
        <v>0.7</v>
      </c>
      <c r="BG222" s="2">
        <f>+AVERAGE(BF222:BF258)</f>
        <v>1.6795695421076309</v>
      </c>
    </row>
    <row r="223" spans="2:59" s="2" customFormat="1" ht="72" hidden="1" customHeight="1">
      <c r="B223" s="44" t="s">
        <v>268</v>
      </c>
      <c r="C223" s="27" t="s">
        <v>1907</v>
      </c>
      <c r="D223" s="673"/>
      <c r="E223" s="648"/>
      <c r="F223" s="648"/>
      <c r="G223" s="410" t="s">
        <v>1908</v>
      </c>
      <c r="H223" s="410" t="s">
        <v>472</v>
      </c>
      <c r="I223" s="410">
        <v>0.1</v>
      </c>
      <c r="J223" s="410" t="s">
        <v>271</v>
      </c>
      <c r="K223" s="410" t="s">
        <v>79</v>
      </c>
      <c r="L223" s="410" t="s">
        <v>78</v>
      </c>
      <c r="M223" s="410" t="s">
        <v>712</v>
      </c>
      <c r="N223" s="410" t="s">
        <v>1900</v>
      </c>
      <c r="O223" s="38">
        <v>44197</v>
      </c>
      <c r="P223" s="38">
        <v>44561</v>
      </c>
      <c r="Q223" s="410">
        <f t="shared" si="20"/>
        <v>0.51</v>
      </c>
      <c r="R223" s="410">
        <v>0.6</v>
      </c>
      <c r="S223" s="413">
        <f t="shared" si="18"/>
        <v>0.6</v>
      </c>
      <c r="T223" s="410">
        <v>0</v>
      </c>
      <c r="U223" s="49">
        <v>0</v>
      </c>
      <c r="V223" s="410" t="s">
        <v>1901</v>
      </c>
      <c r="W223" s="410">
        <v>0</v>
      </c>
      <c r="X223" s="45">
        <v>0.1</v>
      </c>
      <c r="Y223" s="410" t="s">
        <v>1909</v>
      </c>
      <c r="Z223" s="49">
        <v>0.15</v>
      </c>
      <c r="AA223" s="49">
        <v>0.15</v>
      </c>
      <c r="AB223" s="51" t="s">
        <v>1910</v>
      </c>
      <c r="AC223" s="410">
        <v>0</v>
      </c>
      <c r="AD223" s="351">
        <v>0</v>
      </c>
      <c r="AE223" s="352" t="s">
        <v>1911</v>
      </c>
      <c r="AF223" s="410">
        <v>0</v>
      </c>
      <c r="AG223" s="306">
        <v>0</v>
      </c>
      <c r="AH223" s="171" t="s">
        <v>1912</v>
      </c>
      <c r="AI223" s="49">
        <v>0.15</v>
      </c>
      <c r="AJ223" s="410">
        <v>0.26</v>
      </c>
      <c r="AK223" s="410" t="s">
        <v>1913</v>
      </c>
      <c r="AL223" s="410">
        <v>0</v>
      </c>
      <c r="AM223" s="410"/>
      <c r="AN223" s="410"/>
      <c r="AO223" s="410">
        <v>0</v>
      </c>
      <c r="AP223" s="410"/>
      <c r="AQ223" s="410"/>
      <c r="AR223" s="49">
        <v>0.15</v>
      </c>
      <c r="AS223" s="410"/>
      <c r="AT223" s="410"/>
      <c r="AU223" s="410">
        <v>0</v>
      </c>
      <c r="AV223" s="410"/>
      <c r="AW223" s="410"/>
      <c r="AX223" s="410">
        <v>0</v>
      </c>
      <c r="AY223" s="410"/>
      <c r="AZ223" s="410"/>
      <c r="BA223" s="173">
        <v>0.15</v>
      </c>
      <c r="BB223" s="413"/>
      <c r="BC223" s="413"/>
      <c r="BD223" s="413">
        <f t="shared" si="16"/>
        <v>0.3</v>
      </c>
      <c r="BE223" s="392">
        <f>+U223+X223+AA223+AD223+AG223+AJ223</f>
        <v>0.51</v>
      </c>
      <c r="BF223" s="48">
        <f t="shared" si="19"/>
        <v>1.7000000000000002</v>
      </c>
    </row>
    <row r="224" spans="2:59" s="2" customFormat="1" ht="72" hidden="1" customHeight="1">
      <c r="B224" s="44" t="s">
        <v>268</v>
      </c>
      <c r="C224" s="27" t="s">
        <v>1914</v>
      </c>
      <c r="D224" s="673"/>
      <c r="E224" s="648"/>
      <c r="F224" s="648"/>
      <c r="G224" s="410" t="s">
        <v>1915</v>
      </c>
      <c r="H224" s="410" t="s">
        <v>472</v>
      </c>
      <c r="I224" s="410">
        <v>0.08</v>
      </c>
      <c r="J224" s="410" t="s">
        <v>271</v>
      </c>
      <c r="K224" s="410" t="s">
        <v>73</v>
      </c>
      <c r="L224" s="410" t="s">
        <v>1916</v>
      </c>
      <c r="M224" s="410" t="s">
        <v>712</v>
      </c>
      <c r="N224" s="410" t="s">
        <v>1900</v>
      </c>
      <c r="O224" s="38">
        <v>44197</v>
      </c>
      <c r="P224" s="38">
        <v>44561</v>
      </c>
      <c r="Q224" s="410">
        <f t="shared" si="20"/>
        <v>0.33333333333333331</v>
      </c>
      <c r="R224" s="410">
        <v>3</v>
      </c>
      <c r="S224" s="413">
        <f t="shared" si="18"/>
        <v>2.583333333333333</v>
      </c>
      <c r="T224" s="410">
        <v>0</v>
      </c>
      <c r="U224" s="49">
        <v>0</v>
      </c>
      <c r="V224" s="410" t="s">
        <v>1901</v>
      </c>
      <c r="W224" s="410">
        <v>0</v>
      </c>
      <c r="X224" s="410">
        <v>0</v>
      </c>
      <c r="Y224" s="410" t="s">
        <v>1917</v>
      </c>
      <c r="Z224" s="410">
        <v>0</v>
      </c>
      <c r="AA224" s="51">
        <v>0</v>
      </c>
      <c r="AB224" s="51" t="s">
        <v>1918</v>
      </c>
      <c r="AC224" s="410">
        <v>0</v>
      </c>
      <c r="AD224" s="352">
        <v>0</v>
      </c>
      <c r="AE224" s="352" t="s">
        <v>1919</v>
      </c>
      <c r="AF224" s="410">
        <v>0</v>
      </c>
      <c r="AG224" s="241">
        <v>0</v>
      </c>
      <c r="AH224" s="171" t="s">
        <v>1920</v>
      </c>
      <c r="AI224" s="410">
        <f>1/R224</f>
        <v>0.33333333333333331</v>
      </c>
      <c r="AJ224" s="410">
        <f>1*AI224</f>
        <v>0.33333333333333331</v>
      </c>
      <c r="AK224" s="410" t="s">
        <v>1921</v>
      </c>
      <c r="AL224" s="410">
        <v>0</v>
      </c>
      <c r="AM224" s="410"/>
      <c r="AN224" s="410"/>
      <c r="AO224" s="410">
        <v>0</v>
      </c>
      <c r="AP224" s="410"/>
      <c r="AQ224" s="410"/>
      <c r="AR224" s="410">
        <v>0.75</v>
      </c>
      <c r="AS224" s="410"/>
      <c r="AT224" s="410"/>
      <c r="AU224" s="410">
        <v>0</v>
      </c>
      <c r="AV224" s="410"/>
      <c r="AW224" s="410"/>
      <c r="AX224" s="410">
        <v>0</v>
      </c>
      <c r="AY224" s="410"/>
      <c r="AZ224" s="410"/>
      <c r="BA224" s="137">
        <v>1.5</v>
      </c>
      <c r="BB224" s="413"/>
      <c r="BC224" s="413"/>
      <c r="BD224" s="413">
        <f t="shared" si="16"/>
        <v>0.33333333333333331</v>
      </c>
      <c r="BE224" s="413">
        <f t="shared" si="17"/>
        <v>0.33333333333333331</v>
      </c>
      <c r="BF224" s="48">
        <f t="shared" si="19"/>
        <v>1</v>
      </c>
    </row>
    <row r="225" spans="2:58" s="2" customFormat="1" ht="72" hidden="1" customHeight="1">
      <c r="B225" s="44" t="s">
        <v>268</v>
      </c>
      <c r="C225" s="27" t="s">
        <v>1922</v>
      </c>
      <c r="D225" s="673"/>
      <c r="E225" s="648"/>
      <c r="F225" s="648"/>
      <c r="G225" s="410" t="s">
        <v>1923</v>
      </c>
      <c r="H225" s="410" t="s">
        <v>472</v>
      </c>
      <c r="I225" s="410">
        <v>0.08</v>
      </c>
      <c r="J225" s="410" t="s">
        <v>271</v>
      </c>
      <c r="K225" s="410" t="s">
        <v>73</v>
      </c>
      <c r="L225" s="410" t="s">
        <v>1916</v>
      </c>
      <c r="M225" s="410" t="s">
        <v>712</v>
      </c>
      <c r="N225" s="410" t="s">
        <v>1900</v>
      </c>
      <c r="O225" s="38">
        <v>44197</v>
      </c>
      <c r="P225" s="38">
        <v>44561</v>
      </c>
      <c r="Q225" s="410">
        <f t="shared" si="20"/>
        <v>0.99999999999999989</v>
      </c>
      <c r="R225" s="410">
        <v>6</v>
      </c>
      <c r="S225" s="413">
        <f t="shared" si="18"/>
        <v>5.583333333333333</v>
      </c>
      <c r="T225" s="410">
        <v>0</v>
      </c>
      <c r="U225" s="49">
        <v>0</v>
      </c>
      <c r="V225" s="410" t="s">
        <v>1901</v>
      </c>
      <c r="W225" s="410">
        <v>0</v>
      </c>
      <c r="X225" s="410">
        <v>0</v>
      </c>
      <c r="Y225" s="410" t="s">
        <v>1924</v>
      </c>
      <c r="Z225" s="410">
        <f>1/R225</f>
        <v>0.16666666666666666</v>
      </c>
      <c r="AA225" s="51">
        <f>+(5/1)*Z225</f>
        <v>0.83333333333333326</v>
      </c>
      <c r="AB225" s="51" t="s">
        <v>1925</v>
      </c>
      <c r="AC225" s="410">
        <v>0</v>
      </c>
      <c r="AD225" s="352">
        <v>0</v>
      </c>
      <c r="AE225" s="352" t="s">
        <v>1926</v>
      </c>
      <c r="AF225" s="410">
        <v>0</v>
      </c>
      <c r="AG225" s="253">
        <f>1/R225</f>
        <v>0.16666666666666666</v>
      </c>
      <c r="AH225" s="171" t="s">
        <v>1927</v>
      </c>
      <c r="AI225" s="410">
        <f>1/R225</f>
        <v>0.16666666666666666</v>
      </c>
      <c r="AJ225" s="410">
        <v>0</v>
      </c>
      <c r="AK225" s="410" t="s">
        <v>1927</v>
      </c>
      <c r="AL225" s="410">
        <v>0</v>
      </c>
      <c r="AM225" s="410"/>
      <c r="AN225" s="410"/>
      <c r="AO225" s="410">
        <v>0</v>
      </c>
      <c r="AP225" s="410"/>
      <c r="AQ225" s="410"/>
      <c r="AR225" s="410">
        <v>0.75</v>
      </c>
      <c r="AS225" s="410"/>
      <c r="AT225" s="410"/>
      <c r="AU225" s="410">
        <v>0</v>
      </c>
      <c r="AV225" s="410"/>
      <c r="AW225" s="410"/>
      <c r="AX225" s="410">
        <v>0</v>
      </c>
      <c r="AY225" s="410"/>
      <c r="AZ225" s="410"/>
      <c r="BA225" s="137">
        <v>4.5</v>
      </c>
      <c r="BB225" s="413"/>
      <c r="BC225" s="413"/>
      <c r="BD225" s="413">
        <f t="shared" si="16"/>
        <v>0.33333333333333331</v>
      </c>
      <c r="BE225" s="413">
        <f t="shared" si="17"/>
        <v>0.99999999999999989</v>
      </c>
      <c r="BF225" s="48">
        <f t="shared" si="19"/>
        <v>3</v>
      </c>
    </row>
    <row r="226" spans="2:58" s="2" customFormat="1" ht="72" hidden="1" customHeight="1">
      <c r="B226" s="44" t="s">
        <v>268</v>
      </c>
      <c r="C226" s="27" t="s">
        <v>1928</v>
      </c>
      <c r="D226" s="673"/>
      <c r="E226" s="648"/>
      <c r="F226" s="648"/>
      <c r="G226" s="410" t="s">
        <v>1929</v>
      </c>
      <c r="H226" s="410" t="s">
        <v>472</v>
      </c>
      <c r="I226" s="410">
        <v>0.08</v>
      </c>
      <c r="J226" s="410" t="s">
        <v>271</v>
      </c>
      <c r="K226" s="410" t="s">
        <v>79</v>
      </c>
      <c r="L226" s="410" t="s">
        <v>78</v>
      </c>
      <c r="M226" s="410" t="s">
        <v>712</v>
      </c>
      <c r="N226" s="410" t="s">
        <v>1900</v>
      </c>
      <c r="O226" s="38">
        <v>44197</v>
      </c>
      <c r="P226" s="38">
        <v>44561</v>
      </c>
      <c r="Q226" s="410">
        <f t="shared" si="20"/>
        <v>0.7</v>
      </c>
      <c r="R226" s="410">
        <v>1</v>
      </c>
      <c r="S226" s="413">
        <f t="shared" si="18"/>
        <v>1</v>
      </c>
      <c r="T226" s="410">
        <v>0</v>
      </c>
      <c r="U226" s="49">
        <v>0</v>
      </c>
      <c r="V226" s="410" t="s">
        <v>1901</v>
      </c>
      <c r="W226" s="410">
        <v>0</v>
      </c>
      <c r="X226" s="286">
        <v>0</v>
      </c>
      <c r="Y226" s="410" t="s">
        <v>1917</v>
      </c>
      <c r="Z226" s="410">
        <v>0.2</v>
      </c>
      <c r="AA226" s="111">
        <v>0</v>
      </c>
      <c r="AB226" s="51" t="s">
        <v>1930</v>
      </c>
      <c r="AC226" s="410">
        <v>0</v>
      </c>
      <c r="AD226" s="353">
        <v>0.2</v>
      </c>
      <c r="AE226" s="352" t="s">
        <v>1931</v>
      </c>
      <c r="AF226" s="410">
        <v>0</v>
      </c>
      <c r="AG226" s="306">
        <v>0</v>
      </c>
      <c r="AH226" s="171" t="s">
        <v>1932</v>
      </c>
      <c r="AI226" s="49">
        <v>0.3</v>
      </c>
      <c r="AJ226" s="410">
        <v>0.5</v>
      </c>
      <c r="AK226" s="410" t="s">
        <v>1933</v>
      </c>
      <c r="AL226" s="410">
        <v>0</v>
      </c>
      <c r="AM226" s="410"/>
      <c r="AN226" s="410"/>
      <c r="AO226" s="410">
        <v>0</v>
      </c>
      <c r="AP226" s="410"/>
      <c r="AQ226" s="410"/>
      <c r="AR226" s="49">
        <v>0.25</v>
      </c>
      <c r="AS226" s="410"/>
      <c r="AT226" s="410"/>
      <c r="AU226" s="410">
        <v>0</v>
      </c>
      <c r="AV226" s="410"/>
      <c r="AW226" s="410"/>
      <c r="AX226" s="410">
        <v>0</v>
      </c>
      <c r="AY226" s="410"/>
      <c r="AZ226" s="410"/>
      <c r="BA226" s="173">
        <v>0.25</v>
      </c>
      <c r="BB226" s="413"/>
      <c r="BC226" s="413"/>
      <c r="BD226" s="413">
        <f t="shared" si="16"/>
        <v>0.5</v>
      </c>
      <c r="BE226" s="413">
        <f t="shared" si="17"/>
        <v>0.7</v>
      </c>
      <c r="BF226" s="48">
        <f t="shared" si="19"/>
        <v>1.4</v>
      </c>
    </row>
    <row r="227" spans="2:58" s="2" customFormat="1" ht="72" hidden="1" customHeight="1">
      <c r="B227" s="44" t="s">
        <v>268</v>
      </c>
      <c r="C227" s="27" t="s">
        <v>1934</v>
      </c>
      <c r="D227" s="673"/>
      <c r="E227" s="648"/>
      <c r="F227" s="648"/>
      <c r="G227" s="410" t="s">
        <v>1935</v>
      </c>
      <c r="H227" s="410" t="s">
        <v>472</v>
      </c>
      <c r="I227" s="410">
        <v>0.08</v>
      </c>
      <c r="J227" s="410" t="s">
        <v>271</v>
      </c>
      <c r="K227" s="410" t="s">
        <v>79</v>
      </c>
      <c r="L227" s="410" t="s">
        <v>78</v>
      </c>
      <c r="M227" s="410" t="s">
        <v>712</v>
      </c>
      <c r="N227" s="410" t="s">
        <v>1900</v>
      </c>
      <c r="O227" s="38">
        <v>44197</v>
      </c>
      <c r="P227" s="38">
        <v>44561</v>
      </c>
      <c r="Q227" s="410">
        <f t="shared" si="20"/>
        <v>0.63</v>
      </c>
      <c r="R227" s="410">
        <v>1</v>
      </c>
      <c r="S227" s="413">
        <f t="shared" si="18"/>
        <v>1</v>
      </c>
      <c r="T227" s="410">
        <v>0</v>
      </c>
      <c r="U227" s="49">
        <v>0</v>
      </c>
      <c r="V227" s="410" t="s">
        <v>1901</v>
      </c>
      <c r="W227" s="410">
        <v>0</v>
      </c>
      <c r="X227" s="286">
        <v>0</v>
      </c>
      <c r="Y227" s="410" t="s">
        <v>274</v>
      </c>
      <c r="Z227" s="410">
        <v>0.2</v>
      </c>
      <c r="AA227" s="111">
        <v>0.2</v>
      </c>
      <c r="AB227" s="51" t="s">
        <v>1936</v>
      </c>
      <c r="AC227" s="410">
        <v>0</v>
      </c>
      <c r="AD227" s="351">
        <v>0</v>
      </c>
      <c r="AE227" s="352" t="s">
        <v>1937</v>
      </c>
      <c r="AF227" s="410">
        <v>0</v>
      </c>
      <c r="AG227" s="306">
        <v>0</v>
      </c>
      <c r="AH227" s="171" t="s">
        <v>1938</v>
      </c>
      <c r="AI227" s="49">
        <v>0.3</v>
      </c>
      <c r="AJ227" s="410">
        <v>0.43</v>
      </c>
      <c r="AK227" s="410" t="s">
        <v>1939</v>
      </c>
      <c r="AL227" s="410">
        <v>0</v>
      </c>
      <c r="AM227" s="410"/>
      <c r="AN227" s="410"/>
      <c r="AO227" s="410">
        <v>0</v>
      </c>
      <c r="AP227" s="410"/>
      <c r="AQ227" s="410"/>
      <c r="AR227" s="49">
        <v>0.25</v>
      </c>
      <c r="AS227" s="410"/>
      <c r="AT227" s="410"/>
      <c r="AU227" s="410">
        <v>0</v>
      </c>
      <c r="AV227" s="410"/>
      <c r="AW227" s="410"/>
      <c r="AX227" s="410">
        <v>0</v>
      </c>
      <c r="AY227" s="410"/>
      <c r="AZ227" s="410"/>
      <c r="BA227" s="173">
        <v>0.25</v>
      </c>
      <c r="BB227" s="413"/>
      <c r="BC227" s="413"/>
      <c r="BD227" s="413">
        <f t="shared" si="16"/>
        <v>0.5</v>
      </c>
      <c r="BE227" s="413">
        <f t="shared" si="17"/>
        <v>0.63</v>
      </c>
      <c r="BF227" s="48">
        <f t="shared" si="19"/>
        <v>1.26</v>
      </c>
    </row>
    <row r="228" spans="2:58" s="2" customFormat="1" ht="72" hidden="1" customHeight="1">
      <c r="B228" s="44" t="s">
        <v>268</v>
      </c>
      <c r="C228" s="27" t="s">
        <v>1940</v>
      </c>
      <c r="D228" s="673"/>
      <c r="E228" s="648"/>
      <c r="F228" s="648"/>
      <c r="G228" s="410" t="s">
        <v>1941</v>
      </c>
      <c r="H228" s="410" t="s">
        <v>472</v>
      </c>
      <c r="I228" s="410">
        <v>0.1</v>
      </c>
      <c r="J228" s="410" t="s">
        <v>271</v>
      </c>
      <c r="K228" s="410" t="s">
        <v>79</v>
      </c>
      <c r="L228" s="410" t="s">
        <v>78</v>
      </c>
      <c r="M228" s="410" t="s">
        <v>712</v>
      </c>
      <c r="N228" s="410" t="s">
        <v>1900</v>
      </c>
      <c r="O228" s="38">
        <v>44197</v>
      </c>
      <c r="P228" s="38">
        <v>44561</v>
      </c>
      <c r="Q228" s="410">
        <f t="shared" si="20"/>
        <v>0.8</v>
      </c>
      <c r="R228" s="410">
        <v>1</v>
      </c>
      <c r="S228" s="413">
        <f t="shared" si="18"/>
        <v>1</v>
      </c>
      <c r="T228" s="410">
        <v>0</v>
      </c>
      <c r="U228" s="49">
        <v>0</v>
      </c>
      <c r="V228" s="410" t="s">
        <v>1901</v>
      </c>
      <c r="W228" s="410">
        <v>0</v>
      </c>
      <c r="X228" s="45">
        <v>0.1</v>
      </c>
      <c r="Y228" s="410" t="s">
        <v>1942</v>
      </c>
      <c r="Z228" s="410">
        <v>0</v>
      </c>
      <c r="AA228" s="281">
        <v>0.2</v>
      </c>
      <c r="AB228" s="51" t="s">
        <v>1943</v>
      </c>
      <c r="AC228" s="410">
        <v>0</v>
      </c>
      <c r="AD228" s="351">
        <v>0</v>
      </c>
      <c r="AE228" s="352" t="s">
        <v>1944</v>
      </c>
      <c r="AF228" s="410">
        <v>0</v>
      </c>
      <c r="AG228" s="306">
        <v>0</v>
      </c>
      <c r="AH228" s="171" t="s">
        <v>1945</v>
      </c>
      <c r="AI228" s="410">
        <v>0.5</v>
      </c>
      <c r="AJ228" s="410">
        <v>0.5</v>
      </c>
      <c r="AK228" s="410" t="s">
        <v>1946</v>
      </c>
      <c r="AL228" s="410">
        <v>0</v>
      </c>
      <c r="AM228" s="410"/>
      <c r="AN228" s="410"/>
      <c r="AO228" s="410">
        <v>0</v>
      </c>
      <c r="AP228" s="410"/>
      <c r="AQ228" s="410"/>
      <c r="AR228" s="410">
        <v>0</v>
      </c>
      <c r="AS228" s="410"/>
      <c r="AT228" s="410"/>
      <c r="AU228" s="410">
        <v>0</v>
      </c>
      <c r="AV228" s="410"/>
      <c r="AW228" s="410"/>
      <c r="AX228" s="410">
        <v>0</v>
      </c>
      <c r="AY228" s="410"/>
      <c r="AZ228" s="410"/>
      <c r="BA228" s="173">
        <v>0.5</v>
      </c>
      <c r="BB228" s="413"/>
      <c r="BC228" s="413"/>
      <c r="BD228" s="413">
        <f t="shared" si="16"/>
        <v>0.5</v>
      </c>
      <c r="BE228" s="413">
        <f t="shared" si="17"/>
        <v>0.8</v>
      </c>
      <c r="BF228" s="48">
        <f t="shared" si="19"/>
        <v>1.6</v>
      </c>
    </row>
    <row r="229" spans="2:58" s="2" customFormat="1" ht="72" hidden="1" customHeight="1">
      <c r="B229" s="44" t="s">
        <v>268</v>
      </c>
      <c r="C229" s="27" t="s">
        <v>1947</v>
      </c>
      <c r="D229" s="673"/>
      <c r="E229" s="648"/>
      <c r="F229" s="648"/>
      <c r="G229" s="410" t="s">
        <v>1948</v>
      </c>
      <c r="H229" s="410" t="s">
        <v>472</v>
      </c>
      <c r="I229" s="410">
        <v>0.1</v>
      </c>
      <c r="J229" s="410" t="s">
        <v>271</v>
      </c>
      <c r="K229" s="410" t="s">
        <v>79</v>
      </c>
      <c r="L229" s="410" t="s">
        <v>78</v>
      </c>
      <c r="M229" s="410" t="s">
        <v>712</v>
      </c>
      <c r="N229" s="410" t="s">
        <v>1900</v>
      </c>
      <c r="O229" s="38">
        <v>44197</v>
      </c>
      <c r="P229" s="38">
        <v>44561</v>
      </c>
      <c r="Q229" s="410">
        <f t="shared" si="20"/>
        <v>0.7</v>
      </c>
      <c r="R229" s="410">
        <v>1</v>
      </c>
      <c r="S229" s="413">
        <f t="shared" si="18"/>
        <v>1</v>
      </c>
      <c r="T229" s="410">
        <v>0</v>
      </c>
      <c r="U229" s="49">
        <v>0</v>
      </c>
      <c r="V229" s="410" t="s">
        <v>1901</v>
      </c>
      <c r="W229" s="410">
        <v>0</v>
      </c>
      <c r="X229" s="286">
        <v>0</v>
      </c>
      <c r="Y229" s="410" t="s">
        <v>274</v>
      </c>
      <c r="Z229" s="49">
        <v>0.25</v>
      </c>
      <c r="AA229" s="281">
        <v>0.12</v>
      </c>
      <c r="AB229" s="51" t="s">
        <v>1949</v>
      </c>
      <c r="AC229" s="410">
        <v>0</v>
      </c>
      <c r="AD229" s="351">
        <v>0</v>
      </c>
      <c r="AE229" s="352" t="s">
        <v>1950</v>
      </c>
      <c r="AF229" s="410">
        <v>0</v>
      </c>
      <c r="AG229" s="306">
        <v>0</v>
      </c>
      <c r="AH229" s="171" t="s">
        <v>1951</v>
      </c>
      <c r="AI229" s="49">
        <v>0.25</v>
      </c>
      <c r="AJ229" s="410">
        <v>0.57999999999999996</v>
      </c>
      <c r="AK229" s="410" t="s">
        <v>1952</v>
      </c>
      <c r="AL229" s="410">
        <v>0</v>
      </c>
      <c r="AM229" s="410"/>
      <c r="AN229" s="410"/>
      <c r="AO229" s="410">
        <v>0</v>
      </c>
      <c r="AP229" s="410"/>
      <c r="AQ229" s="410"/>
      <c r="AR229" s="49">
        <v>0.25</v>
      </c>
      <c r="AS229" s="410"/>
      <c r="AT229" s="410"/>
      <c r="AU229" s="410">
        <v>0</v>
      </c>
      <c r="AV229" s="410"/>
      <c r="AW229" s="410"/>
      <c r="AX229" s="410">
        <v>0</v>
      </c>
      <c r="AY229" s="410"/>
      <c r="AZ229" s="410"/>
      <c r="BA229" s="173">
        <v>0.25</v>
      </c>
      <c r="BB229" s="413"/>
      <c r="BC229" s="413"/>
      <c r="BD229" s="413">
        <f t="shared" si="16"/>
        <v>0.5</v>
      </c>
      <c r="BE229" s="413">
        <f t="shared" si="17"/>
        <v>0.7</v>
      </c>
      <c r="BF229" s="48">
        <f t="shared" si="19"/>
        <v>1.4</v>
      </c>
    </row>
    <row r="230" spans="2:58" s="2" customFormat="1" ht="72" hidden="1" customHeight="1">
      <c r="B230" s="44" t="s">
        <v>268</v>
      </c>
      <c r="C230" s="27" t="s">
        <v>1953</v>
      </c>
      <c r="D230" s="673"/>
      <c r="E230" s="648"/>
      <c r="F230" s="648"/>
      <c r="G230" s="410" t="s">
        <v>1954</v>
      </c>
      <c r="H230" s="410" t="s">
        <v>472</v>
      </c>
      <c r="I230" s="410">
        <v>0.08</v>
      </c>
      <c r="J230" s="410" t="s">
        <v>271</v>
      </c>
      <c r="K230" s="410" t="s">
        <v>79</v>
      </c>
      <c r="L230" s="410" t="s">
        <v>78</v>
      </c>
      <c r="M230" s="410" t="s">
        <v>712</v>
      </c>
      <c r="N230" s="410" t="s">
        <v>1900</v>
      </c>
      <c r="O230" s="38">
        <v>44197</v>
      </c>
      <c r="P230" s="38">
        <v>44561</v>
      </c>
      <c r="Q230" s="410">
        <f t="shared" si="20"/>
        <v>0.7</v>
      </c>
      <c r="R230" s="410">
        <v>1</v>
      </c>
      <c r="S230" s="413">
        <f t="shared" si="18"/>
        <v>1</v>
      </c>
      <c r="T230" s="410">
        <v>0</v>
      </c>
      <c r="U230" s="49">
        <v>0</v>
      </c>
      <c r="V230" s="410" t="s">
        <v>1901</v>
      </c>
      <c r="W230" s="410">
        <v>0</v>
      </c>
      <c r="X230" s="286">
        <v>0</v>
      </c>
      <c r="Y230" s="410" t="s">
        <v>274</v>
      </c>
      <c r="Z230" s="49">
        <v>0.25</v>
      </c>
      <c r="AA230" s="281">
        <v>0.22</v>
      </c>
      <c r="AB230" s="51" t="s">
        <v>1955</v>
      </c>
      <c r="AC230" s="410">
        <v>0</v>
      </c>
      <c r="AD230" s="351">
        <v>0</v>
      </c>
      <c r="AE230" s="352" t="s">
        <v>1956</v>
      </c>
      <c r="AF230" s="410">
        <v>0</v>
      </c>
      <c r="AG230" s="306">
        <v>0</v>
      </c>
      <c r="AH230" s="171" t="s">
        <v>1957</v>
      </c>
      <c r="AI230" s="49">
        <v>0.25</v>
      </c>
      <c r="AJ230" s="410">
        <v>0.48</v>
      </c>
      <c r="AK230" s="410" t="s">
        <v>1958</v>
      </c>
      <c r="AL230" s="410">
        <v>0</v>
      </c>
      <c r="AM230" s="410"/>
      <c r="AN230" s="410"/>
      <c r="AO230" s="410">
        <v>0</v>
      </c>
      <c r="AP230" s="410"/>
      <c r="AQ230" s="410"/>
      <c r="AR230" s="49">
        <v>0.25</v>
      </c>
      <c r="AS230" s="410"/>
      <c r="AT230" s="410"/>
      <c r="AU230" s="410">
        <v>0</v>
      </c>
      <c r="AV230" s="410"/>
      <c r="AW230" s="410"/>
      <c r="AX230" s="410">
        <v>0</v>
      </c>
      <c r="AY230" s="410"/>
      <c r="AZ230" s="410"/>
      <c r="BA230" s="173">
        <v>0.25</v>
      </c>
      <c r="BB230" s="413"/>
      <c r="BC230" s="413"/>
      <c r="BD230" s="413">
        <f t="shared" si="16"/>
        <v>0.5</v>
      </c>
      <c r="BE230" s="413">
        <f t="shared" si="17"/>
        <v>0.7</v>
      </c>
      <c r="BF230" s="48">
        <f t="shared" si="19"/>
        <v>1.4</v>
      </c>
    </row>
    <row r="231" spans="2:58" s="2" customFormat="1" ht="72" hidden="1" customHeight="1">
      <c r="B231" s="44" t="s">
        <v>268</v>
      </c>
      <c r="C231" s="27" t="s">
        <v>1959</v>
      </c>
      <c r="D231" s="673"/>
      <c r="E231" s="648"/>
      <c r="F231" s="648"/>
      <c r="G231" s="410" t="s">
        <v>1960</v>
      </c>
      <c r="H231" s="410" t="s">
        <v>472</v>
      </c>
      <c r="I231" s="410">
        <v>0.1</v>
      </c>
      <c r="J231" s="410" t="s">
        <v>271</v>
      </c>
      <c r="K231" s="410" t="s">
        <v>73</v>
      </c>
      <c r="L231" s="410" t="s">
        <v>1916</v>
      </c>
      <c r="M231" s="410" t="s">
        <v>712</v>
      </c>
      <c r="N231" s="410" t="s">
        <v>1900</v>
      </c>
      <c r="O231" s="38">
        <v>44197</v>
      </c>
      <c r="P231" s="38">
        <v>44561</v>
      </c>
      <c r="Q231" s="410">
        <f t="shared" si="20"/>
        <v>0</v>
      </c>
      <c r="R231" s="410">
        <v>3</v>
      </c>
      <c r="S231" s="413">
        <f t="shared" si="18"/>
        <v>2.8333333333333335</v>
      </c>
      <c r="T231" s="410">
        <v>0</v>
      </c>
      <c r="U231" s="410">
        <v>0</v>
      </c>
      <c r="V231" s="410" t="s">
        <v>1901</v>
      </c>
      <c r="W231" s="410">
        <v>0</v>
      </c>
      <c r="X231" s="410">
        <v>0</v>
      </c>
      <c r="Y231" s="410" t="s">
        <v>1961</v>
      </c>
      <c r="Z231" s="410">
        <v>0</v>
      </c>
      <c r="AA231" s="51">
        <v>0</v>
      </c>
      <c r="AB231" s="51" t="s">
        <v>1962</v>
      </c>
      <c r="AC231" s="410">
        <v>0</v>
      </c>
      <c r="AD231" s="352">
        <v>0</v>
      </c>
      <c r="AE231" s="352" t="s">
        <v>1963</v>
      </c>
      <c r="AF231" s="410">
        <v>0</v>
      </c>
      <c r="AG231" s="241">
        <v>0</v>
      </c>
      <c r="AH231" s="171" t="s">
        <v>1964</v>
      </c>
      <c r="AI231" s="410">
        <f>1/R231</f>
        <v>0.33333333333333331</v>
      </c>
      <c r="AJ231" s="410">
        <v>0</v>
      </c>
      <c r="AK231" s="410" t="s">
        <v>1965</v>
      </c>
      <c r="AL231" s="410">
        <v>0</v>
      </c>
      <c r="AM231" s="410"/>
      <c r="AN231" s="410"/>
      <c r="AO231" s="410">
        <v>0</v>
      </c>
      <c r="AP231" s="410"/>
      <c r="AQ231" s="410"/>
      <c r="AR231" s="410">
        <v>0</v>
      </c>
      <c r="AS231" s="410"/>
      <c r="AT231" s="410"/>
      <c r="AU231" s="410">
        <v>0</v>
      </c>
      <c r="AV231" s="410"/>
      <c r="AW231" s="410"/>
      <c r="AX231" s="410">
        <v>0</v>
      </c>
      <c r="AY231" s="410"/>
      <c r="AZ231" s="410"/>
      <c r="BA231" s="137">
        <v>2.5</v>
      </c>
      <c r="BB231" s="413"/>
      <c r="BC231" s="413"/>
      <c r="BD231" s="413">
        <f t="shared" si="16"/>
        <v>0.33333333333333331</v>
      </c>
      <c r="BE231" s="413">
        <f t="shared" si="17"/>
        <v>0</v>
      </c>
      <c r="BF231" s="48">
        <f t="shared" si="19"/>
        <v>0</v>
      </c>
    </row>
    <row r="232" spans="2:58" s="2" customFormat="1" ht="72" hidden="1" customHeight="1">
      <c r="B232" s="44" t="s">
        <v>268</v>
      </c>
      <c r="C232" s="27" t="s">
        <v>1966</v>
      </c>
      <c r="D232" s="673"/>
      <c r="E232" s="648"/>
      <c r="F232" s="648"/>
      <c r="G232" s="410" t="s">
        <v>1967</v>
      </c>
      <c r="H232" s="410" t="s">
        <v>472</v>
      </c>
      <c r="I232" s="410">
        <v>0.1</v>
      </c>
      <c r="J232" s="410" t="s">
        <v>271</v>
      </c>
      <c r="K232" s="410" t="s">
        <v>79</v>
      </c>
      <c r="L232" s="410" t="s">
        <v>78</v>
      </c>
      <c r="M232" s="410" t="s">
        <v>712</v>
      </c>
      <c r="N232" s="410" t="s">
        <v>1900</v>
      </c>
      <c r="O232" s="38">
        <v>44197</v>
      </c>
      <c r="P232" s="38">
        <v>44561</v>
      </c>
      <c r="Q232" s="410">
        <f t="shared" si="20"/>
        <v>1</v>
      </c>
      <c r="R232" s="410">
        <v>1</v>
      </c>
      <c r="S232" s="413">
        <f t="shared" si="18"/>
        <v>1</v>
      </c>
      <c r="T232" s="410">
        <v>0</v>
      </c>
      <c r="U232" s="49">
        <v>0</v>
      </c>
      <c r="V232" s="410" t="s">
        <v>1901</v>
      </c>
      <c r="W232" s="410">
        <v>0</v>
      </c>
      <c r="X232" s="286">
        <v>0</v>
      </c>
      <c r="Y232" s="410" t="s">
        <v>1968</v>
      </c>
      <c r="Z232" s="410">
        <v>1</v>
      </c>
      <c r="AA232" s="286">
        <v>1</v>
      </c>
      <c r="AB232" s="51" t="s">
        <v>1969</v>
      </c>
      <c r="AC232" s="410">
        <v>0</v>
      </c>
      <c r="AD232" s="351">
        <v>0</v>
      </c>
      <c r="AE232" s="352" t="s">
        <v>1970</v>
      </c>
      <c r="AF232" s="410">
        <v>0</v>
      </c>
      <c r="AG232" s="306">
        <v>0</v>
      </c>
      <c r="AH232" s="171" t="s">
        <v>1971</v>
      </c>
      <c r="AI232" s="410">
        <v>0</v>
      </c>
      <c r="AJ232" s="410">
        <v>0</v>
      </c>
      <c r="AK232" s="410" t="s">
        <v>1971</v>
      </c>
      <c r="AL232" s="410">
        <v>0</v>
      </c>
      <c r="AM232" s="410"/>
      <c r="AN232" s="410"/>
      <c r="AO232" s="410">
        <v>0</v>
      </c>
      <c r="AP232" s="410"/>
      <c r="AQ232" s="410"/>
      <c r="AR232" s="410">
        <v>0</v>
      </c>
      <c r="AS232" s="410"/>
      <c r="AT232" s="410"/>
      <c r="AU232" s="410">
        <v>0</v>
      </c>
      <c r="AV232" s="410"/>
      <c r="AW232" s="410"/>
      <c r="AX232" s="410">
        <v>0</v>
      </c>
      <c r="AY232" s="410"/>
      <c r="AZ232" s="410"/>
      <c r="BA232" s="173">
        <v>0</v>
      </c>
      <c r="BB232" s="413"/>
      <c r="BC232" s="413"/>
      <c r="BD232" s="413">
        <f t="shared" si="16"/>
        <v>1</v>
      </c>
      <c r="BE232" s="413">
        <f t="shared" si="17"/>
        <v>1</v>
      </c>
      <c r="BF232" s="48">
        <f t="shared" si="19"/>
        <v>1</v>
      </c>
    </row>
    <row r="233" spans="2:58" s="2" customFormat="1" ht="72" hidden="1" customHeight="1">
      <c r="B233" s="44" t="s">
        <v>272</v>
      </c>
      <c r="C233" s="27" t="s">
        <v>1972</v>
      </c>
      <c r="D233" s="673"/>
      <c r="E233" s="648" t="s">
        <v>273</v>
      </c>
      <c r="F233" s="648" t="s">
        <v>1973</v>
      </c>
      <c r="G233" s="410" t="s">
        <v>1974</v>
      </c>
      <c r="H233" s="410" t="s">
        <v>472</v>
      </c>
      <c r="I233" s="410">
        <v>0.33329999999999999</v>
      </c>
      <c r="J233" s="410" t="s">
        <v>271</v>
      </c>
      <c r="K233" s="410" t="s">
        <v>73</v>
      </c>
      <c r="L233" s="410" t="s">
        <v>1916</v>
      </c>
      <c r="M233" s="410" t="s">
        <v>712</v>
      </c>
      <c r="N233" s="410" t="s">
        <v>1900</v>
      </c>
      <c r="O233" s="38">
        <v>44197</v>
      </c>
      <c r="P233" s="38">
        <v>44561</v>
      </c>
      <c r="Q233" s="410">
        <f t="shared" si="20"/>
        <v>0.46</v>
      </c>
      <c r="R233" s="410">
        <v>1</v>
      </c>
      <c r="S233" s="413">
        <f>+T233+W233+Z233+AC233+AF233+AI233+AL233+AO233+AR233+AU233+AX233+BA233</f>
        <v>0.6</v>
      </c>
      <c r="T233" s="410">
        <v>0</v>
      </c>
      <c r="U233" s="410">
        <v>0</v>
      </c>
      <c r="V233" s="410" t="s">
        <v>270</v>
      </c>
      <c r="W233" s="410">
        <v>0</v>
      </c>
      <c r="X233" s="410">
        <v>0</v>
      </c>
      <c r="Y233" s="410" t="s">
        <v>1975</v>
      </c>
      <c r="Z233" s="410">
        <v>0</v>
      </c>
      <c r="AA233" s="51">
        <v>0</v>
      </c>
      <c r="AB233" s="51" t="s">
        <v>1976</v>
      </c>
      <c r="AC233" s="410">
        <v>0</v>
      </c>
      <c r="AD233" s="352">
        <v>0</v>
      </c>
      <c r="AE233" s="352" t="s">
        <v>1977</v>
      </c>
      <c r="AF233" s="410">
        <v>0</v>
      </c>
      <c r="AG233" s="241">
        <v>0</v>
      </c>
      <c r="AH233" s="171" t="s">
        <v>1978</v>
      </c>
      <c r="AI233" s="410">
        <v>0</v>
      </c>
      <c r="AJ233" s="410" t="s">
        <v>1979</v>
      </c>
      <c r="AK233" s="410" t="s">
        <v>1980</v>
      </c>
      <c r="AL233" s="410">
        <v>0.1</v>
      </c>
      <c r="AM233" s="410"/>
      <c r="AN233" s="410"/>
      <c r="AO233" s="410">
        <v>0.1</v>
      </c>
      <c r="AP233" s="410"/>
      <c r="AQ233" s="410"/>
      <c r="AR233" s="410">
        <v>0.1</v>
      </c>
      <c r="AS233" s="410"/>
      <c r="AT233" s="410"/>
      <c r="AU233" s="410">
        <v>0.1</v>
      </c>
      <c r="AV233" s="410"/>
      <c r="AW233" s="410"/>
      <c r="AX233" s="410">
        <v>0.1</v>
      </c>
      <c r="AY233" s="410"/>
      <c r="AZ233" s="410"/>
      <c r="BA233" s="137">
        <v>0.1</v>
      </c>
      <c r="BB233" s="413"/>
      <c r="BC233" s="413"/>
      <c r="BD233" s="413">
        <f t="shared" si="16"/>
        <v>0</v>
      </c>
      <c r="BE233" s="413">
        <f t="shared" si="17"/>
        <v>0.46</v>
      </c>
      <c r="BF233" s="48">
        <f t="shared" si="19"/>
        <v>0.46</v>
      </c>
    </row>
    <row r="234" spans="2:58" s="2" customFormat="1" ht="72" hidden="1" customHeight="1">
      <c r="B234" s="44" t="s">
        <v>272</v>
      </c>
      <c r="C234" s="27" t="s">
        <v>1981</v>
      </c>
      <c r="D234" s="673"/>
      <c r="E234" s="648"/>
      <c r="F234" s="648"/>
      <c r="G234" s="410" t="s">
        <v>1982</v>
      </c>
      <c r="H234" s="410" t="s">
        <v>472</v>
      </c>
      <c r="I234" s="410">
        <v>0.33329999999999999</v>
      </c>
      <c r="J234" s="410" t="s">
        <v>271</v>
      </c>
      <c r="K234" s="410" t="s">
        <v>79</v>
      </c>
      <c r="L234" s="410" t="s">
        <v>78</v>
      </c>
      <c r="M234" s="410" t="s">
        <v>712</v>
      </c>
      <c r="N234" s="410" t="s">
        <v>1900</v>
      </c>
      <c r="O234" s="38">
        <v>44197</v>
      </c>
      <c r="P234" s="38">
        <v>44561</v>
      </c>
      <c r="Q234" s="410">
        <f t="shared" si="20"/>
        <v>0.42000000000000004</v>
      </c>
      <c r="R234" s="410">
        <v>1</v>
      </c>
      <c r="S234" s="413">
        <f t="shared" si="18"/>
        <v>1</v>
      </c>
      <c r="T234" s="410">
        <v>0</v>
      </c>
      <c r="U234" s="49">
        <v>0</v>
      </c>
      <c r="V234" s="410" t="s">
        <v>270</v>
      </c>
      <c r="W234" s="410">
        <v>0</v>
      </c>
      <c r="X234" s="286">
        <v>0</v>
      </c>
      <c r="Y234" s="410" t="s">
        <v>1983</v>
      </c>
      <c r="Z234" s="410">
        <v>0</v>
      </c>
      <c r="AA234" s="281">
        <v>0</v>
      </c>
      <c r="AB234" s="51" t="s">
        <v>1984</v>
      </c>
      <c r="AC234" s="410">
        <v>0.05</v>
      </c>
      <c r="AD234" s="351">
        <v>0</v>
      </c>
      <c r="AE234" s="352" t="s">
        <v>1985</v>
      </c>
      <c r="AF234" s="49">
        <v>0.05</v>
      </c>
      <c r="AG234" s="253">
        <v>0.2</v>
      </c>
      <c r="AH234" s="171" t="s">
        <v>1986</v>
      </c>
      <c r="AI234" s="49">
        <v>0.05</v>
      </c>
      <c r="AJ234" s="410">
        <v>0.22</v>
      </c>
      <c r="AK234" s="410" t="s">
        <v>1987</v>
      </c>
      <c r="AL234" s="49">
        <v>0.05</v>
      </c>
      <c r="AM234" s="410"/>
      <c r="AN234" s="410"/>
      <c r="AO234" s="49">
        <v>0.2</v>
      </c>
      <c r="AP234" s="410"/>
      <c r="AQ234" s="410"/>
      <c r="AR234" s="49">
        <v>0.2</v>
      </c>
      <c r="AS234" s="410"/>
      <c r="AT234" s="410"/>
      <c r="AU234" s="49">
        <v>0.2</v>
      </c>
      <c r="AV234" s="410"/>
      <c r="AW234" s="410"/>
      <c r="AX234" s="49">
        <v>0.1</v>
      </c>
      <c r="AY234" s="410"/>
      <c r="AZ234" s="410"/>
      <c r="BA234" s="173">
        <v>0.1</v>
      </c>
      <c r="BB234" s="413"/>
      <c r="BC234" s="413"/>
      <c r="BD234" s="413">
        <f t="shared" si="16"/>
        <v>0.15000000000000002</v>
      </c>
      <c r="BE234" s="413">
        <f t="shared" si="17"/>
        <v>0.42000000000000004</v>
      </c>
      <c r="BF234" s="48">
        <f t="shared" si="19"/>
        <v>2.8</v>
      </c>
    </row>
    <row r="235" spans="2:58" s="2" customFormat="1" ht="72" hidden="1" customHeight="1">
      <c r="B235" s="44" t="s">
        <v>272</v>
      </c>
      <c r="C235" s="27" t="s">
        <v>1988</v>
      </c>
      <c r="D235" s="673"/>
      <c r="E235" s="648"/>
      <c r="F235" s="648"/>
      <c r="G235" s="410" t="s">
        <v>1989</v>
      </c>
      <c r="H235" s="410" t="s">
        <v>472</v>
      </c>
      <c r="I235" s="410">
        <v>0.33339999999999997</v>
      </c>
      <c r="J235" s="410" t="s">
        <v>271</v>
      </c>
      <c r="K235" s="410" t="s">
        <v>73</v>
      </c>
      <c r="L235" s="410" t="s">
        <v>1916</v>
      </c>
      <c r="M235" s="410" t="s">
        <v>712</v>
      </c>
      <c r="N235" s="410" t="s">
        <v>1900</v>
      </c>
      <c r="O235" s="38">
        <v>44197</v>
      </c>
      <c r="P235" s="38">
        <v>44561</v>
      </c>
      <c r="Q235" s="410">
        <f t="shared" si="20"/>
        <v>0</v>
      </c>
      <c r="R235" s="410">
        <v>1</v>
      </c>
      <c r="S235" s="413">
        <f t="shared" si="18"/>
        <v>1</v>
      </c>
      <c r="T235" s="410">
        <v>0</v>
      </c>
      <c r="U235" s="410">
        <v>0</v>
      </c>
      <c r="V235" s="410" t="s">
        <v>270</v>
      </c>
      <c r="W235" s="410">
        <v>0</v>
      </c>
      <c r="X235" s="410">
        <v>0</v>
      </c>
      <c r="Y235" s="410" t="s">
        <v>1990</v>
      </c>
      <c r="Z235" s="410">
        <v>0</v>
      </c>
      <c r="AA235" s="51">
        <v>0</v>
      </c>
      <c r="AB235" s="51" t="s">
        <v>1991</v>
      </c>
      <c r="AC235" s="410">
        <v>0</v>
      </c>
      <c r="AD235" s="352">
        <v>0</v>
      </c>
      <c r="AE235" s="352" t="s">
        <v>1992</v>
      </c>
      <c r="AF235" s="410">
        <v>0</v>
      </c>
      <c r="AG235" s="241">
        <v>0</v>
      </c>
      <c r="AH235" s="171" t="s">
        <v>1993</v>
      </c>
      <c r="AI235" s="410">
        <v>0</v>
      </c>
      <c r="AJ235" s="410">
        <v>0</v>
      </c>
      <c r="AK235" s="410" t="s">
        <v>1994</v>
      </c>
      <c r="AL235" s="410">
        <v>0</v>
      </c>
      <c r="AM235" s="410"/>
      <c r="AN235" s="410"/>
      <c r="AO235" s="410">
        <v>0</v>
      </c>
      <c r="AP235" s="410"/>
      <c r="AQ235" s="410"/>
      <c r="AR235" s="410">
        <v>0</v>
      </c>
      <c r="AS235" s="410"/>
      <c r="AT235" s="410"/>
      <c r="AU235" s="410">
        <v>0</v>
      </c>
      <c r="AV235" s="410"/>
      <c r="AW235" s="410"/>
      <c r="AX235" s="410">
        <v>0</v>
      </c>
      <c r="AY235" s="410"/>
      <c r="AZ235" s="410"/>
      <c r="BA235" s="137">
        <v>1</v>
      </c>
      <c r="BB235" s="413"/>
      <c r="BC235" s="413"/>
      <c r="BD235" s="413">
        <f t="shared" si="16"/>
        <v>0</v>
      </c>
      <c r="BE235" s="413">
        <f t="shared" si="17"/>
        <v>0</v>
      </c>
      <c r="BF235" s="48" t="str">
        <f t="shared" si="19"/>
        <v>No programación, No avance</v>
      </c>
    </row>
    <row r="236" spans="2:58" s="2" customFormat="1" ht="72" hidden="1" customHeight="1">
      <c r="B236" s="44" t="s">
        <v>275</v>
      </c>
      <c r="C236" s="27" t="s">
        <v>1995</v>
      </c>
      <c r="D236" s="673"/>
      <c r="E236" s="648" t="s">
        <v>276</v>
      </c>
      <c r="F236" s="648" t="s">
        <v>1996</v>
      </c>
      <c r="G236" s="410" t="s">
        <v>1997</v>
      </c>
      <c r="H236" s="410" t="s">
        <v>472</v>
      </c>
      <c r="I236" s="410">
        <v>0.5</v>
      </c>
      <c r="J236" s="410" t="s">
        <v>271</v>
      </c>
      <c r="K236" s="410" t="s">
        <v>79</v>
      </c>
      <c r="L236" s="410" t="s">
        <v>78</v>
      </c>
      <c r="M236" s="410" t="s">
        <v>712</v>
      </c>
      <c r="N236" s="410" t="s">
        <v>1900</v>
      </c>
      <c r="O236" s="38">
        <v>44197</v>
      </c>
      <c r="P236" s="38">
        <v>44561</v>
      </c>
      <c r="Q236" s="410">
        <f t="shared" si="20"/>
        <v>0.60000000000000009</v>
      </c>
      <c r="R236" s="410">
        <v>1</v>
      </c>
      <c r="S236" s="413">
        <f t="shared" si="18"/>
        <v>0.99999999999999989</v>
      </c>
      <c r="T236" s="410">
        <v>0</v>
      </c>
      <c r="U236" s="49">
        <v>0</v>
      </c>
      <c r="V236" s="410" t="s">
        <v>270</v>
      </c>
      <c r="W236" s="410">
        <v>0</v>
      </c>
      <c r="X236" s="286">
        <v>0</v>
      </c>
      <c r="Y236" s="410" t="s">
        <v>1975</v>
      </c>
      <c r="Z236" s="410">
        <v>0</v>
      </c>
      <c r="AA236" s="281">
        <v>0</v>
      </c>
      <c r="AB236" s="51" t="s">
        <v>1998</v>
      </c>
      <c r="AC236" s="410">
        <v>0.05</v>
      </c>
      <c r="AD236" s="351">
        <v>0</v>
      </c>
      <c r="AE236" s="352" t="s">
        <v>1999</v>
      </c>
      <c r="AF236" s="49">
        <v>0.05</v>
      </c>
      <c r="AG236" s="253">
        <v>0.2</v>
      </c>
      <c r="AH236" s="171" t="s">
        <v>2000</v>
      </c>
      <c r="AI236" s="49">
        <v>0.05</v>
      </c>
      <c r="AJ236" s="410">
        <v>0.4</v>
      </c>
      <c r="AK236" s="410" t="s">
        <v>2001</v>
      </c>
      <c r="AL236" s="49">
        <v>0.05</v>
      </c>
      <c r="AM236" s="410"/>
      <c r="AN236" s="410"/>
      <c r="AO236" s="49">
        <v>0.1</v>
      </c>
      <c r="AP236" s="410"/>
      <c r="AQ236" s="410"/>
      <c r="AR236" s="49">
        <v>0.2</v>
      </c>
      <c r="AS236" s="410"/>
      <c r="AT236" s="410"/>
      <c r="AU236" s="49">
        <v>0.2</v>
      </c>
      <c r="AV236" s="410"/>
      <c r="AW236" s="410"/>
      <c r="AX236" s="49">
        <v>0.2</v>
      </c>
      <c r="AY236" s="410"/>
      <c r="AZ236" s="410"/>
      <c r="BA236" s="173">
        <v>0.1</v>
      </c>
      <c r="BB236" s="413"/>
      <c r="BC236" s="413"/>
      <c r="BD236" s="413">
        <f t="shared" si="16"/>
        <v>0.15000000000000002</v>
      </c>
      <c r="BE236" s="413">
        <f t="shared" si="17"/>
        <v>0.60000000000000009</v>
      </c>
      <c r="BF236" s="48">
        <f t="shared" si="19"/>
        <v>4</v>
      </c>
    </row>
    <row r="237" spans="2:58" s="2" customFormat="1" ht="72" hidden="1" customHeight="1">
      <c r="B237" s="44" t="s">
        <v>275</v>
      </c>
      <c r="C237" s="27" t="s">
        <v>2002</v>
      </c>
      <c r="D237" s="673"/>
      <c r="E237" s="648"/>
      <c r="F237" s="648"/>
      <c r="G237" s="410" t="s">
        <v>2003</v>
      </c>
      <c r="H237" s="410" t="s">
        <v>472</v>
      </c>
      <c r="I237" s="410">
        <v>0.25</v>
      </c>
      <c r="J237" s="410" t="s">
        <v>271</v>
      </c>
      <c r="K237" s="410" t="s">
        <v>79</v>
      </c>
      <c r="L237" s="410" t="s">
        <v>2004</v>
      </c>
      <c r="M237" s="410" t="s">
        <v>712</v>
      </c>
      <c r="N237" s="410" t="s">
        <v>1900</v>
      </c>
      <c r="O237" s="38">
        <v>44197</v>
      </c>
      <c r="P237" s="38">
        <v>44561</v>
      </c>
      <c r="Q237" s="410">
        <f t="shared" si="20"/>
        <v>0.41000000000000003</v>
      </c>
      <c r="R237" s="410">
        <v>1</v>
      </c>
      <c r="S237" s="413">
        <f t="shared" si="18"/>
        <v>0.99999999999999989</v>
      </c>
      <c r="T237" s="410">
        <v>0</v>
      </c>
      <c r="U237" s="49">
        <v>0</v>
      </c>
      <c r="V237" s="410" t="s">
        <v>277</v>
      </c>
      <c r="W237" s="410">
        <v>0</v>
      </c>
      <c r="X237" s="286">
        <v>0</v>
      </c>
      <c r="Y237" s="410" t="s">
        <v>277</v>
      </c>
      <c r="Z237" s="410">
        <v>0</v>
      </c>
      <c r="AA237" s="281">
        <v>0</v>
      </c>
      <c r="AB237" s="51" t="s">
        <v>2005</v>
      </c>
      <c r="AC237" s="49">
        <v>0.05</v>
      </c>
      <c r="AD237" s="353">
        <v>0.2</v>
      </c>
      <c r="AE237" s="352" t="s">
        <v>2006</v>
      </c>
      <c r="AF237" s="410">
        <v>0.05</v>
      </c>
      <c r="AG237" s="253">
        <v>0</v>
      </c>
      <c r="AH237" s="171" t="s">
        <v>2007</v>
      </c>
      <c r="AI237" s="49">
        <v>0.05</v>
      </c>
      <c r="AJ237" s="410">
        <v>0.21</v>
      </c>
      <c r="AK237" s="410" t="s">
        <v>2007</v>
      </c>
      <c r="AL237" s="49">
        <v>0.05</v>
      </c>
      <c r="AM237" s="410"/>
      <c r="AN237" s="410"/>
      <c r="AO237" s="49">
        <v>0.1</v>
      </c>
      <c r="AP237" s="410"/>
      <c r="AQ237" s="410"/>
      <c r="AR237" s="49">
        <v>0.2</v>
      </c>
      <c r="AS237" s="410"/>
      <c r="AT237" s="410"/>
      <c r="AU237" s="49">
        <v>0.2</v>
      </c>
      <c r="AV237" s="410"/>
      <c r="AW237" s="410"/>
      <c r="AX237" s="49">
        <v>0.2</v>
      </c>
      <c r="AY237" s="410"/>
      <c r="AZ237" s="410"/>
      <c r="BA237" s="173">
        <v>0.1</v>
      </c>
      <c r="BB237" s="413"/>
      <c r="BC237" s="413"/>
      <c r="BD237" s="413">
        <f t="shared" si="16"/>
        <v>0.15000000000000002</v>
      </c>
      <c r="BE237" s="413">
        <f t="shared" si="17"/>
        <v>0.41000000000000003</v>
      </c>
      <c r="BF237" s="48">
        <f t="shared" si="19"/>
        <v>2.7333333333333329</v>
      </c>
    </row>
    <row r="238" spans="2:58" s="2" customFormat="1" ht="72" hidden="1" customHeight="1">
      <c r="B238" s="44" t="s">
        <v>275</v>
      </c>
      <c r="C238" s="27" t="s">
        <v>2008</v>
      </c>
      <c r="D238" s="673"/>
      <c r="E238" s="648"/>
      <c r="F238" s="648"/>
      <c r="G238" s="410" t="s">
        <v>2009</v>
      </c>
      <c r="H238" s="410" t="s">
        <v>472</v>
      </c>
      <c r="I238" s="410">
        <v>0.25</v>
      </c>
      <c r="J238" s="410" t="s">
        <v>271</v>
      </c>
      <c r="K238" s="410" t="s">
        <v>79</v>
      </c>
      <c r="L238" s="410" t="s">
        <v>2004</v>
      </c>
      <c r="M238" s="410" t="s">
        <v>712</v>
      </c>
      <c r="N238" s="410" t="s">
        <v>1900</v>
      </c>
      <c r="O238" s="38">
        <v>44197</v>
      </c>
      <c r="P238" s="38">
        <v>44561</v>
      </c>
      <c r="Q238" s="410">
        <f t="shared" si="20"/>
        <v>0.9</v>
      </c>
      <c r="R238" s="410">
        <v>1</v>
      </c>
      <c r="S238" s="413">
        <f t="shared" si="18"/>
        <v>1.0000000000000002</v>
      </c>
      <c r="T238" s="410">
        <v>0</v>
      </c>
      <c r="U238" s="49">
        <v>0</v>
      </c>
      <c r="V238" s="410" t="s">
        <v>277</v>
      </c>
      <c r="W238" s="410">
        <v>0</v>
      </c>
      <c r="X238" s="286">
        <v>0</v>
      </c>
      <c r="Y238" s="410" t="s">
        <v>277</v>
      </c>
      <c r="Z238" s="410">
        <v>0.1</v>
      </c>
      <c r="AA238" s="111">
        <v>0</v>
      </c>
      <c r="AB238" s="51" t="s">
        <v>2010</v>
      </c>
      <c r="AC238" s="49">
        <v>0.05</v>
      </c>
      <c r="AD238" s="353">
        <v>0</v>
      </c>
      <c r="AE238" s="352" t="s">
        <v>2011</v>
      </c>
      <c r="AF238" s="49">
        <v>0.2</v>
      </c>
      <c r="AG238" s="253">
        <v>0.4</v>
      </c>
      <c r="AH238" s="171" t="s">
        <v>2012</v>
      </c>
      <c r="AI238" s="49">
        <v>0.25</v>
      </c>
      <c r="AJ238" s="49">
        <v>0.5</v>
      </c>
      <c r="AK238" s="410" t="s">
        <v>2013</v>
      </c>
      <c r="AL238" s="49">
        <v>0.1</v>
      </c>
      <c r="AM238" s="410"/>
      <c r="AN238" s="410"/>
      <c r="AO238" s="410">
        <v>0</v>
      </c>
      <c r="AP238" s="410"/>
      <c r="AQ238" s="410"/>
      <c r="AR238" s="49">
        <v>0.2</v>
      </c>
      <c r="AS238" s="410"/>
      <c r="AT238" s="410"/>
      <c r="AU238" s="410">
        <v>0</v>
      </c>
      <c r="AV238" s="410"/>
      <c r="AW238" s="410"/>
      <c r="AX238" s="49">
        <v>0.1</v>
      </c>
      <c r="AY238" s="410"/>
      <c r="AZ238" s="410"/>
      <c r="BA238" s="137">
        <v>0</v>
      </c>
      <c r="BB238" s="413"/>
      <c r="BC238" s="413"/>
      <c r="BD238" s="413">
        <f t="shared" si="16"/>
        <v>0.60000000000000009</v>
      </c>
      <c r="BE238" s="413">
        <f t="shared" si="17"/>
        <v>0.9</v>
      </c>
      <c r="BF238" s="48">
        <f t="shared" si="19"/>
        <v>1.4999999999999998</v>
      </c>
    </row>
    <row r="239" spans="2:58" s="2" customFormat="1" ht="72" hidden="1" customHeight="1">
      <c r="B239" s="44" t="s">
        <v>278</v>
      </c>
      <c r="C239" s="27" t="s">
        <v>2014</v>
      </c>
      <c r="D239" s="673"/>
      <c r="E239" s="648"/>
      <c r="F239" s="648" t="s">
        <v>2015</v>
      </c>
      <c r="G239" s="410" t="s">
        <v>2016</v>
      </c>
      <c r="H239" s="410" t="s">
        <v>472</v>
      </c>
      <c r="I239" s="410">
        <v>0.5</v>
      </c>
      <c r="J239" s="410" t="s">
        <v>271</v>
      </c>
      <c r="K239" s="410" t="s">
        <v>73</v>
      </c>
      <c r="L239" s="410" t="s">
        <v>2017</v>
      </c>
      <c r="M239" s="410" t="s">
        <v>712</v>
      </c>
      <c r="N239" s="410" t="s">
        <v>1900</v>
      </c>
      <c r="O239" s="38">
        <v>44197</v>
      </c>
      <c r="P239" s="38">
        <v>44561</v>
      </c>
      <c r="Q239" s="410">
        <f t="shared" si="20"/>
        <v>0.25</v>
      </c>
      <c r="R239" s="410">
        <v>4</v>
      </c>
      <c r="S239" s="413">
        <f t="shared" si="18"/>
        <v>4</v>
      </c>
      <c r="T239" s="410">
        <v>0</v>
      </c>
      <c r="U239" s="410">
        <v>0</v>
      </c>
      <c r="V239" s="410" t="s">
        <v>292</v>
      </c>
      <c r="W239" s="410">
        <v>0</v>
      </c>
      <c r="X239" s="410">
        <v>0</v>
      </c>
      <c r="Y239" s="410" t="s">
        <v>292</v>
      </c>
      <c r="Z239" s="410">
        <v>0</v>
      </c>
      <c r="AA239" s="51">
        <v>0</v>
      </c>
      <c r="AB239" s="51" t="s">
        <v>2018</v>
      </c>
      <c r="AC239" s="410">
        <v>0</v>
      </c>
      <c r="AD239" s="352">
        <v>0</v>
      </c>
      <c r="AE239" s="352" t="s">
        <v>2019</v>
      </c>
      <c r="AF239" s="410">
        <v>0</v>
      </c>
      <c r="AG239" s="241">
        <v>0</v>
      </c>
      <c r="AH239" s="171" t="s">
        <v>2020</v>
      </c>
      <c r="AI239" s="410">
        <v>0</v>
      </c>
      <c r="AJ239" s="410">
        <v>0.25</v>
      </c>
      <c r="AK239" s="410" t="s">
        <v>2020</v>
      </c>
      <c r="AL239" s="410">
        <v>2</v>
      </c>
      <c r="AM239" s="410"/>
      <c r="AN239" s="410"/>
      <c r="AO239" s="410">
        <v>0</v>
      </c>
      <c r="AP239" s="410"/>
      <c r="AQ239" s="410"/>
      <c r="AR239" s="410">
        <v>0</v>
      </c>
      <c r="AS239" s="410"/>
      <c r="AT239" s="410"/>
      <c r="AU239" s="410">
        <v>0</v>
      </c>
      <c r="AV239" s="410"/>
      <c r="AW239" s="410"/>
      <c r="AX239" s="410">
        <v>0</v>
      </c>
      <c r="AY239" s="410"/>
      <c r="AZ239" s="410"/>
      <c r="BA239" s="137">
        <v>2</v>
      </c>
      <c r="BB239" s="413"/>
      <c r="BC239" s="413"/>
      <c r="BD239" s="413">
        <f t="shared" si="16"/>
        <v>0</v>
      </c>
      <c r="BE239" s="413">
        <f t="shared" si="17"/>
        <v>0.25</v>
      </c>
      <c r="BF239" s="48">
        <f t="shared" si="19"/>
        <v>6.25E-2</v>
      </c>
    </row>
    <row r="240" spans="2:58" s="2" customFormat="1" ht="72" hidden="1" customHeight="1">
      <c r="B240" s="44" t="s">
        <v>278</v>
      </c>
      <c r="C240" s="27" t="s">
        <v>2021</v>
      </c>
      <c r="D240" s="673"/>
      <c r="E240" s="648"/>
      <c r="F240" s="648"/>
      <c r="G240" s="410" t="s">
        <v>2022</v>
      </c>
      <c r="H240" s="410" t="s">
        <v>472</v>
      </c>
      <c r="I240" s="410">
        <v>0.5</v>
      </c>
      <c r="J240" s="410" t="s">
        <v>271</v>
      </c>
      <c r="K240" s="410" t="s">
        <v>79</v>
      </c>
      <c r="L240" s="410" t="s">
        <v>358</v>
      </c>
      <c r="M240" s="410" t="s">
        <v>712</v>
      </c>
      <c r="N240" s="410" t="s">
        <v>1900</v>
      </c>
      <c r="O240" s="38">
        <v>44197</v>
      </c>
      <c r="P240" s="38">
        <v>44561</v>
      </c>
      <c r="Q240" s="410">
        <f t="shared" si="20"/>
        <v>0.22</v>
      </c>
      <c r="R240" s="410">
        <v>1</v>
      </c>
      <c r="S240" s="413">
        <f t="shared" si="18"/>
        <v>1</v>
      </c>
      <c r="T240" s="410">
        <v>0</v>
      </c>
      <c r="U240" s="49">
        <v>0</v>
      </c>
      <c r="V240" s="410" t="s">
        <v>277</v>
      </c>
      <c r="W240" s="410">
        <v>0</v>
      </c>
      <c r="X240" s="286">
        <v>0</v>
      </c>
      <c r="Y240" s="410" t="s">
        <v>277</v>
      </c>
      <c r="Z240" s="410">
        <v>0</v>
      </c>
      <c r="AA240" s="281">
        <v>0</v>
      </c>
      <c r="AB240" s="51" t="s">
        <v>2023</v>
      </c>
      <c r="AC240" s="410">
        <v>0</v>
      </c>
      <c r="AD240" s="351">
        <v>0</v>
      </c>
      <c r="AE240" s="352" t="s">
        <v>2006</v>
      </c>
      <c r="AF240" s="410">
        <v>0</v>
      </c>
      <c r="AG240" s="306">
        <v>0</v>
      </c>
      <c r="AH240" s="171" t="s">
        <v>2007</v>
      </c>
      <c r="AI240" s="410">
        <v>0</v>
      </c>
      <c r="AJ240" s="410">
        <v>0.22</v>
      </c>
      <c r="AK240" s="410" t="s">
        <v>2007</v>
      </c>
      <c r="AL240" s="410">
        <v>0</v>
      </c>
      <c r="AM240" s="410"/>
      <c r="AN240" s="410"/>
      <c r="AO240" s="410">
        <v>0.1</v>
      </c>
      <c r="AP240" s="410"/>
      <c r="AQ240" s="410"/>
      <c r="AR240" s="410">
        <v>0</v>
      </c>
      <c r="AS240" s="410"/>
      <c r="AT240" s="410"/>
      <c r="AU240" s="49">
        <v>0.4</v>
      </c>
      <c r="AV240" s="410"/>
      <c r="AW240" s="410"/>
      <c r="AX240" s="410">
        <v>0</v>
      </c>
      <c r="AY240" s="410"/>
      <c r="AZ240" s="410"/>
      <c r="BA240" s="173">
        <v>0.5</v>
      </c>
      <c r="BB240" s="413"/>
      <c r="BC240" s="413"/>
      <c r="BD240" s="413">
        <f t="shared" si="16"/>
        <v>0</v>
      </c>
      <c r="BE240" s="413">
        <f t="shared" si="17"/>
        <v>0.22</v>
      </c>
      <c r="BF240" s="48">
        <f t="shared" si="19"/>
        <v>0.22</v>
      </c>
    </row>
    <row r="241" spans="2:58" s="2" customFormat="1" ht="72" hidden="1" customHeight="1">
      <c r="B241" s="44" t="s">
        <v>279</v>
      </c>
      <c r="C241" s="27" t="s">
        <v>2024</v>
      </c>
      <c r="D241" s="673"/>
      <c r="E241" s="648" t="s">
        <v>280</v>
      </c>
      <c r="F241" s="648" t="s">
        <v>2025</v>
      </c>
      <c r="G241" s="410" t="s">
        <v>2026</v>
      </c>
      <c r="H241" s="410" t="s">
        <v>472</v>
      </c>
      <c r="I241" s="410">
        <v>0.4</v>
      </c>
      <c r="J241" s="410" t="s">
        <v>271</v>
      </c>
      <c r="K241" s="410" t="s">
        <v>79</v>
      </c>
      <c r="L241" s="410" t="s">
        <v>78</v>
      </c>
      <c r="M241" s="410" t="s">
        <v>127</v>
      </c>
      <c r="N241" s="410" t="s">
        <v>1900</v>
      </c>
      <c r="O241" s="38">
        <v>44197</v>
      </c>
      <c r="P241" s="38">
        <v>44561</v>
      </c>
      <c r="Q241" s="410">
        <f t="shared" si="20"/>
        <v>0</v>
      </c>
      <c r="R241" s="410">
        <v>1</v>
      </c>
      <c r="S241" s="413">
        <f t="shared" si="18"/>
        <v>1</v>
      </c>
      <c r="T241" s="410">
        <v>0</v>
      </c>
      <c r="U241" s="49">
        <v>0</v>
      </c>
      <c r="V241" s="410" t="s">
        <v>2027</v>
      </c>
      <c r="W241" s="410">
        <v>0</v>
      </c>
      <c r="X241" s="286">
        <v>0</v>
      </c>
      <c r="Y241" s="410" t="s">
        <v>277</v>
      </c>
      <c r="Z241" s="410">
        <v>0</v>
      </c>
      <c r="AA241" s="281">
        <v>0</v>
      </c>
      <c r="AB241" s="51" t="s">
        <v>2028</v>
      </c>
      <c r="AC241" s="410">
        <v>0</v>
      </c>
      <c r="AD241" s="351">
        <v>0</v>
      </c>
      <c r="AE241" s="352" t="s">
        <v>2029</v>
      </c>
      <c r="AF241" s="410">
        <v>0</v>
      </c>
      <c r="AG241" s="306">
        <v>0</v>
      </c>
      <c r="AH241" s="171" t="s">
        <v>2030</v>
      </c>
      <c r="AI241" s="410">
        <v>0</v>
      </c>
      <c r="AJ241" s="410">
        <v>0</v>
      </c>
      <c r="AK241" s="410" t="s">
        <v>2031</v>
      </c>
      <c r="AL241" s="410">
        <v>0.5</v>
      </c>
      <c r="AM241" s="410"/>
      <c r="AN241" s="410"/>
      <c r="AO241" s="410">
        <v>0</v>
      </c>
      <c r="AP241" s="410"/>
      <c r="AQ241" s="410"/>
      <c r="AR241" s="410">
        <v>0</v>
      </c>
      <c r="AS241" s="410"/>
      <c r="AT241" s="410"/>
      <c r="AU241" s="410">
        <v>0</v>
      </c>
      <c r="AV241" s="410"/>
      <c r="AW241" s="410"/>
      <c r="AX241" s="410">
        <v>0</v>
      </c>
      <c r="AY241" s="410"/>
      <c r="AZ241" s="410"/>
      <c r="BA241" s="173">
        <v>0.5</v>
      </c>
      <c r="BB241" s="413"/>
      <c r="BC241" s="413"/>
      <c r="BD241" s="413">
        <f t="shared" si="16"/>
        <v>0</v>
      </c>
      <c r="BE241" s="413">
        <f t="shared" si="17"/>
        <v>0</v>
      </c>
      <c r="BF241" s="48" t="str">
        <f t="shared" si="19"/>
        <v>No programación, No avance</v>
      </c>
    </row>
    <row r="242" spans="2:58" s="2" customFormat="1" ht="72" hidden="1" customHeight="1">
      <c r="B242" s="44" t="s">
        <v>279</v>
      </c>
      <c r="C242" s="27" t="s">
        <v>2032</v>
      </c>
      <c r="D242" s="673"/>
      <c r="E242" s="648"/>
      <c r="F242" s="648"/>
      <c r="G242" s="410" t="s">
        <v>2033</v>
      </c>
      <c r="H242" s="410" t="s">
        <v>472</v>
      </c>
      <c r="I242" s="410">
        <v>0.4</v>
      </c>
      <c r="J242" s="410" t="s">
        <v>271</v>
      </c>
      <c r="K242" s="410" t="s">
        <v>73</v>
      </c>
      <c r="L242" s="410" t="s">
        <v>1916</v>
      </c>
      <c r="M242" s="410" t="s">
        <v>127</v>
      </c>
      <c r="N242" s="410" t="s">
        <v>1900</v>
      </c>
      <c r="O242" s="38">
        <v>44197</v>
      </c>
      <c r="P242" s="38">
        <v>44561</v>
      </c>
      <c r="Q242" s="410">
        <f t="shared" si="20"/>
        <v>0</v>
      </c>
      <c r="R242" s="410">
        <v>1</v>
      </c>
      <c r="S242" s="413">
        <f t="shared" si="18"/>
        <v>1</v>
      </c>
      <c r="T242" s="410">
        <v>0</v>
      </c>
      <c r="U242" s="410">
        <v>0</v>
      </c>
      <c r="V242" s="410" t="s">
        <v>2027</v>
      </c>
      <c r="W242" s="410">
        <v>0</v>
      </c>
      <c r="X242" s="410">
        <v>0</v>
      </c>
      <c r="Y242" s="410" t="s">
        <v>277</v>
      </c>
      <c r="Z242" s="410">
        <v>0</v>
      </c>
      <c r="AA242" s="51">
        <v>0</v>
      </c>
      <c r="AB242" s="51" t="s">
        <v>2028</v>
      </c>
      <c r="AC242" s="410">
        <v>0</v>
      </c>
      <c r="AD242" s="352">
        <v>0</v>
      </c>
      <c r="AE242" s="352" t="s">
        <v>2034</v>
      </c>
      <c r="AF242" s="410">
        <v>0</v>
      </c>
      <c r="AG242" s="241">
        <v>0</v>
      </c>
      <c r="AH242" s="171" t="s">
        <v>2030</v>
      </c>
      <c r="AI242" s="410">
        <v>0</v>
      </c>
      <c r="AJ242" s="410">
        <v>0</v>
      </c>
      <c r="AK242" s="410" t="s">
        <v>2031</v>
      </c>
      <c r="AL242" s="410">
        <v>0</v>
      </c>
      <c r="AM242" s="410"/>
      <c r="AN242" s="410"/>
      <c r="AO242" s="410">
        <v>0</v>
      </c>
      <c r="AP242" s="410"/>
      <c r="AQ242" s="410"/>
      <c r="AR242" s="410">
        <v>0</v>
      </c>
      <c r="AS242" s="410"/>
      <c r="AT242" s="410"/>
      <c r="AU242" s="410">
        <v>0</v>
      </c>
      <c r="AV242" s="410"/>
      <c r="AW242" s="410"/>
      <c r="AX242" s="410">
        <v>0</v>
      </c>
      <c r="AY242" s="410"/>
      <c r="AZ242" s="410"/>
      <c r="BA242" s="137">
        <v>1</v>
      </c>
      <c r="BB242" s="413"/>
      <c r="BC242" s="413"/>
      <c r="BD242" s="413">
        <f t="shared" ref="BD242:BD305" si="21">+T242+W242+Z242+AC242+AF242+AI242</f>
        <v>0</v>
      </c>
      <c r="BE242" s="413">
        <f t="shared" ref="BE242:BE305" si="22">+U242+X242+AA242+AD242+AG242+AJ242</f>
        <v>0</v>
      </c>
      <c r="BF242" s="48" t="str">
        <f t="shared" si="19"/>
        <v>No programación, No avance</v>
      </c>
    </row>
    <row r="243" spans="2:58" s="2" customFormat="1" ht="72" hidden="1" customHeight="1">
      <c r="B243" s="44" t="s">
        <v>279</v>
      </c>
      <c r="C243" s="27" t="s">
        <v>2035</v>
      </c>
      <c r="D243" s="673"/>
      <c r="E243" s="648"/>
      <c r="F243" s="648"/>
      <c r="G243" s="410" t="s">
        <v>2036</v>
      </c>
      <c r="H243" s="410" t="s">
        <v>472</v>
      </c>
      <c r="I243" s="410">
        <v>0.2</v>
      </c>
      <c r="J243" s="410" t="s">
        <v>271</v>
      </c>
      <c r="K243" s="410" t="s">
        <v>79</v>
      </c>
      <c r="L243" s="410" t="s">
        <v>78</v>
      </c>
      <c r="M243" s="410" t="s">
        <v>127</v>
      </c>
      <c r="N243" s="410" t="s">
        <v>1900</v>
      </c>
      <c r="O243" s="38">
        <v>44197</v>
      </c>
      <c r="P243" s="38">
        <v>44561</v>
      </c>
      <c r="Q243" s="410">
        <f t="shared" si="20"/>
        <v>0.6</v>
      </c>
      <c r="R243" s="410">
        <v>1</v>
      </c>
      <c r="S243" s="413">
        <f t="shared" si="18"/>
        <v>1</v>
      </c>
      <c r="T243" s="410">
        <v>0</v>
      </c>
      <c r="U243" s="49">
        <v>0</v>
      </c>
      <c r="V243" s="410" t="s">
        <v>288</v>
      </c>
      <c r="W243" s="410">
        <v>0</v>
      </c>
      <c r="X243" s="286">
        <v>0</v>
      </c>
      <c r="Y243" s="410" t="s">
        <v>281</v>
      </c>
      <c r="Z243" s="410">
        <v>0</v>
      </c>
      <c r="AA243" s="281">
        <v>0</v>
      </c>
      <c r="AB243" s="51" t="s">
        <v>2037</v>
      </c>
      <c r="AC243" s="49">
        <v>0.25</v>
      </c>
      <c r="AD243" s="353">
        <v>0</v>
      </c>
      <c r="AE243" s="352" t="s">
        <v>2038</v>
      </c>
      <c r="AF243" s="410">
        <v>0</v>
      </c>
      <c r="AG243" s="306">
        <v>0</v>
      </c>
      <c r="AH243" s="171" t="s">
        <v>2039</v>
      </c>
      <c r="AI243" s="49">
        <v>0.25</v>
      </c>
      <c r="AJ243" s="410">
        <v>0.6</v>
      </c>
      <c r="AK243" s="410" t="s">
        <v>2040</v>
      </c>
      <c r="AL243" s="410">
        <v>0</v>
      </c>
      <c r="AM243" s="410"/>
      <c r="AN243" s="410"/>
      <c r="AO243" s="410">
        <v>0</v>
      </c>
      <c r="AP243" s="410"/>
      <c r="AQ243" s="410"/>
      <c r="AR243" s="410">
        <v>0</v>
      </c>
      <c r="AS243" s="410"/>
      <c r="AT243" s="410"/>
      <c r="AU243" s="410">
        <v>0</v>
      </c>
      <c r="AV243" s="410"/>
      <c r="AW243" s="410"/>
      <c r="AX243" s="410">
        <v>0</v>
      </c>
      <c r="AY243" s="410"/>
      <c r="AZ243" s="410"/>
      <c r="BA243" s="173">
        <v>0.5</v>
      </c>
      <c r="BB243" s="413"/>
      <c r="BC243" s="413"/>
      <c r="BD243" s="413">
        <f t="shared" si="21"/>
        <v>0.5</v>
      </c>
      <c r="BE243" s="413">
        <f t="shared" si="22"/>
        <v>0.6</v>
      </c>
      <c r="BF243" s="48">
        <f t="shared" si="19"/>
        <v>1.2</v>
      </c>
    </row>
    <row r="244" spans="2:58" s="2" customFormat="1" ht="72" hidden="1" customHeight="1">
      <c r="B244" s="44" t="s">
        <v>282</v>
      </c>
      <c r="C244" s="27" t="s">
        <v>2041</v>
      </c>
      <c r="D244" s="673"/>
      <c r="E244" s="648" t="s">
        <v>273</v>
      </c>
      <c r="F244" s="648" t="s">
        <v>2042</v>
      </c>
      <c r="G244" s="410" t="s">
        <v>2043</v>
      </c>
      <c r="H244" s="410" t="s">
        <v>472</v>
      </c>
      <c r="I244" s="410">
        <v>0.5</v>
      </c>
      <c r="J244" s="410" t="s">
        <v>271</v>
      </c>
      <c r="K244" s="410" t="s">
        <v>79</v>
      </c>
      <c r="L244" s="410" t="s">
        <v>78</v>
      </c>
      <c r="M244" s="410" t="s">
        <v>127</v>
      </c>
      <c r="N244" s="410" t="s">
        <v>1900</v>
      </c>
      <c r="O244" s="38">
        <v>44197</v>
      </c>
      <c r="P244" s="38">
        <v>44561</v>
      </c>
      <c r="Q244" s="410">
        <f t="shared" si="20"/>
        <v>0.76</v>
      </c>
      <c r="R244" s="410">
        <v>1</v>
      </c>
      <c r="S244" s="413">
        <f t="shared" si="18"/>
        <v>1</v>
      </c>
      <c r="T244" s="410">
        <v>0</v>
      </c>
      <c r="U244" s="49">
        <v>0</v>
      </c>
      <c r="V244" s="410" t="s">
        <v>301</v>
      </c>
      <c r="W244" s="410">
        <v>0.05</v>
      </c>
      <c r="X244" s="45">
        <v>0.05</v>
      </c>
      <c r="Y244" s="410" t="s">
        <v>2044</v>
      </c>
      <c r="Z244" s="410">
        <v>0</v>
      </c>
      <c r="AA244" s="111">
        <v>0</v>
      </c>
      <c r="AB244" s="51" t="s">
        <v>2045</v>
      </c>
      <c r="AC244" s="410">
        <v>0.2</v>
      </c>
      <c r="AD244" s="354">
        <v>0</v>
      </c>
      <c r="AE244" s="352" t="s">
        <v>2046</v>
      </c>
      <c r="AF244" s="410">
        <v>0</v>
      </c>
      <c r="AG244" s="306">
        <v>0</v>
      </c>
      <c r="AH244" s="171" t="s">
        <v>2047</v>
      </c>
      <c r="AI244" s="410">
        <v>0.5</v>
      </c>
      <c r="AJ244" s="410">
        <v>0.71</v>
      </c>
      <c r="AK244" s="410" t="s">
        <v>2048</v>
      </c>
      <c r="AL244" s="410">
        <v>0</v>
      </c>
      <c r="AM244" s="410"/>
      <c r="AN244" s="410"/>
      <c r="AO244" s="410">
        <v>0</v>
      </c>
      <c r="AP244" s="410"/>
      <c r="AQ244" s="410"/>
      <c r="AR244" s="410">
        <v>0.25</v>
      </c>
      <c r="AS244" s="410"/>
      <c r="AT244" s="410"/>
      <c r="AU244" s="410">
        <v>0</v>
      </c>
      <c r="AV244" s="410"/>
      <c r="AW244" s="410"/>
      <c r="AX244" s="410">
        <v>0</v>
      </c>
      <c r="AY244" s="410"/>
      <c r="AZ244" s="410"/>
      <c r="BA244" s="137">
        <v>0</v>
      </c>
      <c r="BB244" s="413"/>
      <c r="BC244" s="413"/>
      <c r="BD244" s="413">
        <f t="shared" si="21"/>
        <v>0.75</v>
      </c>
      <c r="BE244" s="413">
        <f t="shared" si="22"/>
        <v>0.76</v>
      </c>
      <c r="BF244" s="48">
        <f t="shared" si="19"/>
        <v>1.0133333333333334</v>
      </c>
    </row>
    <row r="245" spans="2:58" s="2" customFormat="1" ht="72" hidden="1" customHeight="1">
      <c r="B245" s="44" t="s">
        <v>282</v>
      </c>
      <c r="C245" s="27" t="s">
        <v>2049</v>
      </c>
      <c r="D245" s="673"/>
      <c r="E245" s="648"/>
      <c r="F245" s="648"/>
      <c r="G245" s="410" t="s">
        <v>2050</v>
      </c>
      <c r="H245" s="410" t="s">
        <v>472</v>
      </c>
      <c r="I245" s="410">
        <v>0.5</v>
      </c>
      <c r="J245" s="410" t="s">
        <v>271</v>
      </c>
      <c r="K245" s="410" t="s">
        <v>73</v>
      </c>
      <c r="L245" s="410" t="s">
        <v>1916</v>
      </c>
      <c r="M245" s="410" t="s">
        <v>127</v>
      </c>
      <c r="N245" s="410" t="s">
        <v>1900</v>
      </c>
      <c r="O245" s="38">
        <v>44197</v>
      </c>
      <c r="P245" s="38">
        <v>44561</v>
      </c>
      <c r="Q245" s="410">
        <f t="shared" si="20"/>
        <v>0</v>
      </c>
      <c r="R245" s="410">
        <v>1</v>
      </c>
      <c r="S245" s="413">
        <f t="shared" si="18"/>
        <v>1</v>
      </c>
      <c r="T245" s="410">
        <v>0</v>
      </c>
      <c r="U245" s="410">
        <v>0</v>
      </c>
      <c r="V245" s="410" t="s">
        <v>283</v>
      </c>
      <c r="W245" s="410">
        <v>0</v>
      </c>
      <c r="X245" s="410">
        <v>0</v>
      </c>
      <c r="Y245" s="410" t="s">
        <v>2051</v>
      </c>
      <c r="Z245" s="410">
        <v>0</v>
      </c>
      <c r="AA245" s="51">
        <v>0</v>
      </c>
      <c r="AB245" s="51" t="s">
        <v>2052</v>
      </c>
      <c r="AC245" s="410">
        <v>0</v>
      </c>
      <c r="AD245" s="352">
        <v>0</v>
      </c>
      <c r="AE245" s="352" t="s">
        <v>2053</v>
      </c>
      <c r="AF245" s="410">
        <v>0</v>
      </c>
      <c r="AG245" s="241">
        <v>0</v>
      </c>
      <c r="AH245" s="171" t="s">
        <v>2054</v>
      </c>
      <c r="AI245" s="410">
        <v>0</v>
      </c>
      <c r="AJ245" s="410">
        <v>0</v>
      </c>
      <c r="AK245" s="410" t="s">
        <v>2055</v>
      </c>
      <c r="AL245" s="410">
        <v>0</v>
      </c>
      <c r="AM245" s="410"/>
      <c r="AN245" s="410"/>
      <c r="AO245" s="410">
        <v>0</v>
      </c>
      <c r="AP245" s="410"/>
      <c r="AQ245" s="410"/>
      <c r="AR245" s="410">
        <v>0</v>
      </c>
      <c r="AS245" s="410"/>
      <c r="AT245" s="410"/>
      <c r="AU245" s="410">
        <v>0</v>
      </c>
      <c r="AV245" s="410"/>
      <c r="AW245" s="410"/>
      <c r="AX245" s="410">
        <v>0</v>
      </c>
      <c r="AY245" s="410"/>
      <c r="AZ245" s="410"/>
      <c r="BA245" s="137">
        <v>1</v>
      </c>
      <c r="BB245" s="413"/>
      <c r="BC245" s="413"/>
      <c r="BD245" s="413">
        <f t="shared" si="21"/>
        <v>0</v>
      </c>
      <c r="BE245" s="413">
        <f t="shared" si="22"/>
        <v>0</v>
      </c>
      <c r="BF245" s="48" t="str">
        <f t="shared" si="19"/>
        <v>No programación, No avance</v>
      </c>
    </row>
    <row r="246" spans="2:58" s="2" customFormat="1" ht="72" hidden="1" customHeight="1">
      <c r="B246" s="44" t="s">
        <v>284</v>
      </c>
      <c r="C246" s="27" t="s">
        <v>2056</v>
      </c>
      <c r="D246" s="673"/>
      <c r="E246" s="648"/>
      <c r="F246" s="410" t="s">
        <v>2057</v>
      </c>
      <c r="G246" s="410" t="s">
        <v>2058</v>
      </c>
      <c r="H246" s="410" t="s">
        <v>472</v>
      </c>
      <c r="I246" s="410">
        <v>1</v>
      </c>
      <c r="J246" s="410" t="s">
        <v>271</v>
      </c>
      <c r="K246" s="410" t="s">
        <v>79</v>
      </c>
      <c r="L246" s="410" t="s">
        <v>78</v>
      </c>
      <c r="M246" s="410" t="s">
        <v>127</v>
      </c>
      <c r="N246" s="410" t="s">
        <v>1900</v>
      </c>
      <c r="O246" s="38">
        <v>44197</v>
      </c>
      <c r="P246" s="38">
        <v>44561</v>
      </c>
      <c r="Q246" s="410">
        <f t="shared" si="20"/>
        <v>0.69000000000000006</v>
      </c>
      <c r="R246" s="49">
        <v>1</v>
      </c>
      <c r="S246" s="413">
        <f t="shared" si="18"/>
        <v>1</v>
      </c>
      <c r="T246" s="410">
        <v>0</v>
      </c>
      <c r="U246" s="49">
        <v>0.08</v>
      </c>
      <c r="V246" s="410" t="s">
        <v>2059</v>
      </c>
      <c r="W246" s="49">
        <v>0.05</v>
      </c>
      <c r="X246" s="45">
        <v>0.1</v>
      </c>
      <c r="Y246" s="410" t="s">
        <v>2060</v>
      </c>
      <c r="Z246" s="410">
        <v>0</v>
      </c>
      <c r="AA246" s="281">
        <v>0</v>
      </c>
      <c r="AB246" s="51" t="s">
        <v>2061</v>
      </c>
      <c r="AC246" s="49">
        <v>0.2</v>
      </c>
      <c r="AD246" s="351">
        <v>0</v>
      </c>
      <c r="AE246" s="352" t="s">
        <v>2062</v>
      </c>
      <c r="AF246" s="49">
        <v>0.3</v>
      </c>
      <c r="AG246" s="253">
        <v>0.4</v>
      </c>
      <c r="AH246" s="171" t="s">
        <v>2063</v>
      </c>
      <c r="AI246" s="49">
        <v>0.2</v>
      </c>
      <c r="AJ246" s="410">
        <v>0.11</v>
      </c>
      <c r="AK246" s="410" t="s">
        <v>2064</v>
      </c>
      <c r="AL246" s="49">
        <v>0.25</v>
      </c>
      <c r="AM246" s="410"/>
      <c r="AN246" s="410"/>
      <c r="AO246" s="410">
        <v>0</v>
      </c>
      <c r="AP246" s="410"/>
      <c r="AQ246" s="410"/>
      <c r="AR246" s="410">
        <v>0</v>
      </c>
      <c r="AS246" s="410"/>
      <c r="AT246" s="410"/>
      <c r="AU246" s="410">
        <v>0</v>
      </c>
      <c r="AV246" s="410"/>
      <c r="AW246" s="410"/>
      <c r="AX246" s="410">
        <v>0</v>
      </c>
      <c r="AY246" s="410"/>
      <c r="AZ246" s="410"/>
      <c r="BA246" s="137">
        <v>0</v>
      </c>
      <c r="BB246" s="413"/>
      <c r="BC246" s="413"/>
      <c r="BD246" s="413">
        <f t="shared" si="21"/>
        <v>0.75</v>
      </c>
      <c r="BE246" s="413">
        <f t="shared" si="22"/>
        <v>0.69000000000000006</v>
      </c>
      <c r="BF246" s="48">
        <f t="shared" si="19"/>
        <v>0.92</v>
      </c>
    </row>
    <row r="247" spans="2:58" s="2" customFormat="1" ht="72" hidden="1" customHeight="1">
      <c r="B247" s="44" t="s">
        <v>285</v>
      </c>
      <c r="C247" s="27" t="s">
        <v>2065</v>
      </c>
      <c r="D247" s="673"/>
      <c r="E247" s="648"/>
      <c r="F247" s="648" t="s">
        <v>2066</v>
      </c>
      <c r="G247" s="410" t="s">
        <v>2067</v>
      </c>
      <c r="H247" s="410" t="s">
        <v>472</v>
      </c>
      <c r="I247" s="410">
        <v>0.5</v>
      </c>
      <c r="J247" s="410" t="s">
        <v>271</v>
      </c>
      <c r="K247" s="410" t="s">
        <v>73</v>
      </c>
      <c r="L247" s="410" t="s">
        <v>2017</v>
      </c>
      <c r="M247" s="410" t="s">
        <v>712</v>
      </c>
      <c r="N247" s="410" t="s">
        <v>1900</v>
      </c>
      <c r="O247" s="38">
        <v>44197</v>
      </c>
      <c r="P247" s="38">
        <v>44561</v>
      </c>
      <c r="Q247" s="410">
        <f t="shared" si="20"/>
        <v>1</v>
      </c>
      <c r="R247" s="410">
        <v>3</v>
      </c>
      <c r="S247" s="413">
        <f t="shared" si="18"/>
        <v>2.3333333333333335</v>
      </c>
      <c r="T247" s="410">
        <v>0</v>
      </c>
      <c r="U247" s="410">
        <v>0</v>
      </c>
      <c r="V247" s="410" t="s">
        <v>286</v>
      </c>
      <c r="W247" s="410">
        <v>0</v>
      </c>
      <c r="X247" s="410">
        <v>0</v>
      </c>
      <c r="Y247" s="410" t="s">
        <v>2068</v>
      </c>
      <c r="Z247" s="410">
        <v>0</v>
      </c>
      <c r="AA247" s="51">
        <v>0</v>
      </c>
      <c r="AB247" s="51" t="s">
        <v>2069</v>
      </c>
      <c r="AC247" s="410">
        <v>0</v>
      </c>
      <c r="AD247" s="352">
        <v>0</v>
      </c>
      <c r="AE247" s="352" t="s">
        <v>2070</v>
      </c>
      <c r="AF247" s="410">
        <f>1/R247</f>
        <v>0.33333333333333331</v>
      </c>
      <c r="AG247" s="241">
        <v>0</v>
      </c>
      <c r="AH247" s="171" t="s">
        <v>2071</v>
      </c>
      <c r="AI247" s="410">
        <v>0</v>
      </c>
      <c r="AJ247" s="410">
        <v>1</v>
      </c>
      <c r="AK247" s="410" t="s">
        <v>2072</v>
      </c>
      <c r="AL247" s="410">
        <v>0</v>
      </c>
      <c r="AM247" s="410"/>
      <c r="AN247" s="410"/>
      <c r="AO247" s="410">
        <v>0</v>
      </c>
      <c r="AP247" s="410"/>
      <c r="AQ247" s="410"/>
      <c r="AR247" s="410">
        <v>0</v>
      </c>
      <c r="AS247" s="410"/>
      <c r="AT247" s="410"/>
      <c r="AU247" s="410">
        <v>0</v>
      </c>
      <c r="AV247" s="410"/>
      <c r="AW247" s="410"/>
      <c r="AX247" s="410">
        <v>2</v>
      </c>
      <c r="AY247" s="410"/>
      <c r="AZ247" s="410"/>
      <c r="BA247" s="137">
        <v>0</v>
      </c>
      <c r="BB247" s="413"/>
      <c r="BC247" s="413"/>
      <c r="BD247" s="413">
        <f t="shared" si="21"/>
        <v>0.33333333333333331</v>
      </c>
      <c r="BE247" s="413">
        <f t="shared" si="22"/>
        <v>1</v>
      </c>
      <c r="BF247" s="48">
        <f t="shared" si="19"/>
        <v>3</v>
      </c>
    </row>
    <row r="248" spans="2:58" s="2" customFormat="1" ht="72" customHeight="1">
      <c r="B248" s="44" t="s">
        <v>285</v>
      </c>
      <c r="C248" s="27" t="s">
        <v>2073</v>
      </c>
      <c r="D248" s="673"/>
      <c r="E248" s="648"/>
      <c r="F248" s="648"/>
      <c r="G248" s="410" t="s">
        <v>2074</v>
      </c>
      <c r="H248" s="410" t="s">
        <v>472</v>
      </c>
      <c r="I248" s="410">
        <v>0.5</v>
      </c>
      <c r="J248" s="410" t="s">
        <v>271</v>
      </c>
      <c r="K248" s="410" t="s">
        <v>73</v>
      </c>
      <c r="L248" s="410" t="s">
        <v>1916</v>
      </c>
      <c r="M248" s="410" t="s">
        <v>712</v>
      </c>
      <c r="N248" s="410" t="s">
        <v>1900</v>
      </c>
      <c r="O248" s="38">
        <v>44197</v>
      </c>
      <c r="P248" s="38">
        <v>44561</v>
      </c>
      <c r="Q248" s="410">
        <f t="shared" si="20"/>
        <v>2.25</v>
      </c>
      <c r="R248" s="410">
        <v>4</v>
      </c>
      <c r="S248" s="413">
        <f t="shared" si="18"/>
        <v>3.25</v>
      </c>
      <c r="T248" s="410">
        <v>0</v>
      </c>
      <c r="U248" s="410">
        <v>0</v>
      </c>
      <c r="V248" s="410" t="s">
        <v>1901</v>
      </c>
      <c r="W248" s="410">
        <v>0</v>
      </c>
      <c r="X248" s="410">
        <v>0</v>
      </c>
      <c r="Y248" s="410" t="s">
        <v>2075</v>
      </c>
      <c r="Z248" s="410">
        <v>0</v>
      </c>
      <c r="AA248" s="51">
        <v>0</v>
      </c>
      <c r="AB248" s="51" t="s">
        <v>2076</v>
      </c>
      <c r="AC248" s="410">
        <f>1/R248</f>
        <v>0.25</v>
      </c>
      <c r="AD248" s="352">
        <f>+(1/1)*AC248</f>
        <v>0.25</v>
      </c>
      <c r="AE248" s="352" t="s">
        <v>2077</v>
      </c>
      <c r="AF248" s="410">
        <v>0</v>
      </c>
      <c r="AG248" s="241">
        <v>0</v>
      </c>
      <c r="AH248" s="171" t="s">
        <v>2078</v>
      </c>
      <c r="AI248" s="410">
        <v>2</v>
      </c>
      <c r="AJ248" s="410">
        <v>2</v>
      </c>
      <c r="AK248" s="410" t="s">
        <v>2079</v>
      </c>
      <c r="AL248" s="410">
        <v>0</v>
      </c>
      <c r="AM248" s="410"/>
      <c r="AN248" s="410"/>
      <c r="AO248" s="410">
        <v>0</v>
      </c>
      <c r="AP248" s="410"/>
      <c r="AQ248" s="410"/>
      <c r="AR248" s="410">
        <v>1</v>
      </c>
      <c r="AS248" s="410"/>
      <c r="AT248" s="410"/>
      <c r="AU248" s="410">
        <v>0</v>
      </c>
      <c r="AV248" s="410"/>
      <c r="AW248" s="410"/>
      <c r="AX248" s="410">
        <v>0</v>
      </c>
      <c r="AY248" s="410"/>
      <c r="AZ248" s="410"/>
      <c r="BA248" s="137">
        <v>0</v>
      </c>
      <c r="BB248" s="413"/>
      <c r="BC248" s="413"/>
      <c r="BD248" s="413">
        <f t="shared" si="21"/>
        <v>2.25</v>
      </c>
      <c r="BE248" s="413">
        <f t="shared" si="22"/>
        <v>2.25</v>
      </c>
      <c r="BF248" s="48">
        <f t="shared" si="19"/>
        <v>1</v>
      </c>
    </row>
    <row r="249" spans="2:58" s="2" customFormat="1" ht="72" customHeight="1">
      <c r="B249" s="44" t="s">
        <v>287</v>
      </c>
      <c r="C249" s="27" t="s">
        <v>2080</v>
      </c>
      <c r="D249" s="673"/>
      <c r="E249" s="410" t="s">
        <v>280</v>
      </c>
      <c r="F249" s="410" t="s">
        <v>2081</v>
      </c>
      <c r="G249" s="410" t="s">
        <v>2082</v>
      </c>
      <c r="H249" s="410" t="s">
        <v>472</v>
      </c>
      <c r="I249" s="410">
        <v>1</v>
      </c>
      <c r="J249" s="410" t="s">
        <v>271</v>
      </c>
      <c r="K249" s="410" t="s">
        <v>73</v>
      </c>
      <c r="L249" s="410" t="s">
        <v>1916</v>
      </c>
      <c r="M249" s="410" t="s">
        <v>127</v>
      </c>
      <c r="N249" s="410" t="s">
        <v>1900</v>
      </c>
      <c r="O249" s="38">
        <v>44197</v>
      </c>
      <c r="P249" s="38">
        <v>44561</v>
      </c>
      <c r="Q249" s="410">
        <f t="shared" si="20"/>
        <v>2</v>
      </c>
      <c r="R249" s="410">
        <v>6</v>
      </c>
      <c r="S249" s="413">
        <f t="shared" si="18"/>
        <v>5.1666666666666661</v>
      </c>
      <c r="T249" s="410">
        <v>0</v>
      </c>
      <c r="U249" s="410">
        <v>0</v>
      </c>
      <c r="V249" s="410" t="s">
        <v>288</v>
      </c>
      <c r="W249" s="410">
        <v>0</v>
      </c>
      <c r="X249" s="410">
        <v>0</v>
      </c>
      <c r="Y249" s="410" t="s">
        <v>281</v>
      </c>
      <c r="Z249" s="410">
        <f>1/R249</f>
        <v>0.16666666666666666</v>
      </c>
      <c r="AA249" s="51">
        <v>0</v>
      </c>
      <c r="AB249" s="51" t="s">
        <v>2083</v>
      </c>
      <c r="AC249" s="410">
        <v>0</v>
      </c>
      <c r="AD249" s="352">
        <v>0</v>
      </c>
      <c r="AE249" s="352" t="s">
        <v>2084</v>
      </c>
      <c r="AF249" s="410">
        <v>0</v>
      </c>
      <c r="AG249" s="241">
        <v>0</v>
      </c>
      <c r="AH249" s="171" t="s">
        <v>2085</v>
      </c>
      <c r="AI249" s="410">
        <v>2</v>
      </c>
      <c r="AJ249" s="410">
        <v>2</v>
      </c>
      <c r="AK249" s="410" t="s">
        <v>2086</v>
      </c>
      <c r="AL249" s="410">
        <v>0</v>
      </c>
      <c r="AM249" s="410"/>
      <c r="AN249" s="410"/>
      <c r="AO249" s="410">
        <v>0</v>
      </c>
      <c r="AP249" s="410"/>
      <c r="AQ249" s="410"/>
      <c r="AR249" s="410">
        <v>1</v>
      </c>
      <c r="AS249" s="410"/>
      <c r="AT249" s="410"/>
      <c r="AU249" s="410">
        <v>0</v>
      </c>
      <c r="AV249" s="410"/>
      <c r="AW249" s="410"/>
      <c r="AX249" s="410">
        <v>0</v>
      </c>
      <c r="AY249" s="410"/>
      <c r="AZ249" s="410"/>
      <c r="BA249" s="137">
        <v>2</v>
      </c>
      <c r="BB249" s="413"/>
      <c r="BC249" s="413"/>
      <c r="BD249" s="413">
        <f t="shared" si="21"/>
        <v>2.1666666666666665</v>
      </c>
      <c r="BE249" s="413">
        <f t="shared" si="22"/>
        <v>2</v>
      </c>
      <c r="BF249" s="48">
        <f t="shared" si="19"/>
        <v>0.92307692307692313</v>
      </c>
    </row>
    <row r="250" spans="2:58" s="2" customFormat="1" ht="72" hidden="1" customHeight="1">
      <c r="B250" s="44" t="s">
        <v>289</v>
      </c>
      <c r="C250" s="27" t="s">
        <v>2087</v>
      </c>
      <c r="D250" s="673"/>
      <c r="E250" s="410" t="s">
        <v>280</v>
      </c>
      <c r="F250" s="410" t="s">
        <v>2088</v>
      </c>
      <c r="G250" s="410" t="s">
        <v>2089</v>
      </c>
      <c r="H250" s="410" t="s">
        <v>472</v>
      </c>
      <c r="I250" s="410">
        <v>1</v>
      </c>
      <c r="J250" s="410" t="s">
        <v>271</v>
      </c>
      <c r="K250" s="410" t="s">
        <v>73</v>
      </c>
      <c r="L250" s="410" t="s">
        <v>1916</v>
      </c>
      <c r="M250" s="410" t="s">
        <v>127</v>
      </c>
      <c r="N250" s="410" t="s">
        <v>1900</v>
      </c>
      <c r="O250" s="38">
        <v>44197</v>
      </c>
      <c r="P250" s="38">
        <v>44561</v>
      </c>
      <c r="Q250" s="410">
        <f t="shared" si="20"/>
        <v>2</v>
      </c>
      <c r="R250" s="410">
        <v>1</v>
      </c>
      <c r="S250" s="413">
        <f t="shared" si="18"/>
        <v>1</v>
      </c>
      <c r="T250" s="410">
        <v>0</v>
      </c>
      <c r="U250" s="410">
        <v>0</v>
      </c>
      <c r="V250" s="410" t="s">
        <v>290</v>
      </c>
      <c r="W250" s="410">
        <v>0</v>
      </c>
      <c r="X250" s="410">
        <v>0</v>
      </c>
      <c r="Y250" s="410" t="s">
        <v>2090</v>
      </c>
      <c r="Z250" s="410">
        <v>0</v>
      </c>
      <c r="AA250" s="51">
        <v>0</v>
      </c>
      <c r="AB250" s="51" t="s">
        <v>2091</v>
      </c>
      <c r="AC250" s="410">
        <v>0</v>
      </c>
      <c r="AD250" s="352">
        <v>1</v>
      </c>
      <c r="AE250" s="352" t="s">
        <v>2092</v>
      </c>
      <c r="AF250" s="410">
        <v>0</v>
      </c>
      <c r="AG250" s="241">
        <v>0</v>
      </c>
      <c r="AH250" s="171" t="s">
        <v>2093</v>
      </c>
      <c r="AI250" s="410">
        <v>0</v>
      </c>
      <c r="AJ250" s="410">
        <v>1</v>
      </c>
      <c r="AK250" s="410" t="s">
        <v>2094</v>
      </c>
      <c r="AL250" s="410">
        <v>0</v>
      </c>
      <c r="AM250" s="410"/>
      <c r="AN250" s="410"/>
      <c r="AO250" s="410">
        <v>0</v>
      </c>
      <c r="AP250" s="410"/>
      <c r="AQ250" s="410"/>
      <c r="AR250" s="410">
        <v>0</v>
      </c>
      <c r="AS250" s="410"/>
      <c r="AT250" s="410"/>
      <c r="AU250" s="410">
        <v>0</v>
      </c>
      <c r="AV250" s="410"/>
      <c r="AW250" s="410"/>
      <c r="AX250" s="410">
        <v>0</v>
      </c>
      <c r="AY250" s="410"/>
      <c r="AZ250" s="410"/>
      <c r="BA250" s="137">
        <v>1</v>
      </c>
      <c r="BB250" s="413"/>
      <c r="BC250" s="413"/>
      <c r="BD250" s="413">
        <f t="shared" si="21"/>
        <v>0</v>
      </c>
      <c r="BE250" s="413">
        <f t="shared" si="22"/>
        <v>2</v>
      </c>
      <c r="BF250" s="48">
        <f t="shared" si="19"/>
        <v>2</v>
      </c>
    </row>
    <row r="251" spans="2:58" s="2" customFormat="1" ht="72" customHeight="1">
      <c r="B251" s="44" t="s">
        <v>291</v>
      </c>
      <c r="C251" s="27" t="s">
        <v>2095</v>
      </c>
      <c r="D251" s="673"/>
      <c r="E251" s="410" t="s">
        <v>280</v>
      </c>
      <c r="F251" s="410" t="s">
        <v>2096</v>
      </c>
      <c r="G251" s="410" t="s">
        <v>2097</v>
      </c>
      <c r="H251" s="410" t="s">
        <v>472</v>
      </c>
      <c r="I251" s="410">
        <v>1</v>
      </c>
      <c r="J251" s="410" t="s">
        <v>271</v>
      </c>
      <c r="K251" s="410" t="s">
        <v>73</v>
      </c>
      <c r="L251" s="410" t="s">
        <v>72</v>
      </c>
      <c r="M251" s="410" t="s">
        <v>2098</v>
      </c>
      <c r="N251" s="410" t="s">
        <v>1900</v>
      </c>
      <c r="O251" s="38">
        <v>44197</v>
      </c>
      <c r="P251" s="38">
        <v>44561</v>
      </c>
      <c r="Q251" s="410">
        <f t="shared" si="20"/>
        <v>2.3333333333333335</v>
      </c>
      <c r="R251" s="410">
        <v>3</v>
      </c>
      <c r="S251" s="413">
        <f t="shared" si="18"/>
        <v>2.3333333333333335</v>
      </c>
      <c r="T251" s="410">
        <v>0</v>
      </c>
      <c r="U251" s="410">
        <v>0</v>
      </c>
      <c r="V251" s="410" t="s">
        <v>292</v>
      </c>
      <c r="W251" s="410">
        <v>0</v>
      </c>
      <c r="X251" s="410">
        <v>0</v>
      </c>
      <c r="Y251" s="410" t="s">
        <v>292</v>
      </c>
      <c r="Z251" s="410">
        <v>0</v>
      </c>
      <c r="AA251" s="51">
        <v>0</v>
      </c>
      <c r="AB251" s="51" t="s">
        <v>293</v>
      </c>
      <c r="AC251" s="410">
        <f>1/R251</f>
        <v>0.33333333333333331</v>
      </c>
      <c r="AD251" s="352">
        <f>+(1/1)*AC251</f>
        <v>0.33333333333333331</v>
      </c>
      <c r="AE251" s="352" t="s">
        <v>2099</v>
      </c>
      <c r="AF251" s="410">
        <v>0</v>
      </c>
      <c r="AG251" s="241">
        <v>0</v>
      </c>
      <c r="AH251" s="171" t="s">
        <v>2100</v>
      </c>
      <c r="AI251" s="410">
        <v>0</v>
      </c>
      <c r="AJ251" s="410">
        <v>2</v>
      </c>
      <c r="AK251" s="410" t="s">
        <v>2101</v>
      </c>
      <c r="AL251" s="410">
        <v>0</v>
      </c>
      <c r="AM251" s="410"/>
      <c r="AN251" s="410"/>
      <c r="AO251" s="410">
        <v>2</v>
      </c>
      <c r="AP251" s="410"/>
      <c r="AQ251" s="410"/>
      <c r="AR251" s="410">
        <v>0</v>
      </c>
      <c r="AS251" s="410"/>
      <c r="AT251" s="410"/>
      <c r="AU251" s="410">
        <v>0</v>
      </c>
      <c r="AV251" s="410"/>
      <c r="AW251" s="410"/>
      <c r="AX251" s="410">
        <v>0</v>
      </c>
      <c r="AY251" s="410"/>
      <c r="AZ251" s="410"/>
      <c r="BA251" s="137">
        <v>0</v>
      </c>
      <c r="BB251" s="413"/>
      <c r="BC251" s="413"/>
      <c r="BD251" s="413">
        <f t="shared" si="21"/>
        <v>0.33333333333333331</v>
      </c>
      <c r="BE251" s="413">
        <f t="shared" si="22"/>
        <v>2.3333333333333335</v>
      </c>
      <c r="BF251" s="48">
        <f t="shared" si="19"/>
        <v>7.0000000000000009</v>
      </c>
    </row>
    <row r="252" spans="2:58" s="2" customFormat="1" ht="72" customHeight="1" thickBot="1">
      <c r="B252" s="44" t="s">
        <v>294</v>
      </c>
      <c r="C252" s="27" t="s">
        <v>2102</v>
      </c>
      <c r="D252" s="673"/>
      <c r="E252" s="410" t="s">
        <v>280</v>
      </c>
      <c r="F252" s="410" t="s">
        <v>2103</v>
      </c>
      <c r="G252" s="410" t="s">
        <v>2104</v>
      </c>
      <c r="H252" s="410" t="s">
        <v>472</v>
      </c>
      <c r="I252" s="410">
        <v>1</v>
      </c>
      <c r="J252" s="410" t="s">
        <v>271</v>
      </c>
      <c r="K252" s="410" t="s">
        <v>73</v>
      </c>
      <c r="L252" s="410" t="s">
        <v>72</v>
      </c>
      <c r="M252" s="410" t="s">
        <v>712</v>
      </c>
      <c r="N252" s="410" t="s">
        <v>1900</v>
      </c>
      <c r="O252" s="38">
        <v>44197</v>
      </c>
      <c r="P252" s="38">
        <v>44561</v>
      </c>
      <c r="Q252" s="410">
        <f t="shared" si="20"/>
        <v>2</v>
      </c>
      <c r="R252" s="410">
        <v>6</v>
      </c>
      <c r="S252" s="413">
        <f t="shared" si="18"/>
        <v>5.1666666666666661</v>
      </c>
      <c r="T252" s="410">
        <v>0</v>
      </c>
      <c r="U252" s="410">
        <v>0</v>
      </c>
      <c r="V252" s="410" t="s">
        <v>274</v>
      </c>
      <c r="W252" s="410">
        <v>0</v>
      </c>
      <c r="X252" s="410">
        <v>0</v>
      </c>
      <c r="Y252" s="410" t="s">
        <v>274</v>
      </c>
      <c r="Z252" s="410">
        <f>1/R252</f>
        <v>0.16666666666666666</v>
      </c>
      <c r="AA252" s="51">
        <v>0</v>
      </c>
      <c r="AB252" s="51" t="s">
        <v>295</v>
      </c>
      <c r="AC252" s="410">
        <v>0</v>
      </c>
      <c r="AD252" s="352">
        <v>0</v>
      </c>
      <c r="AE252" s="352" t="s">
        <v>2105</v>
      </c>
      <c r="AF252" s="410">
        <v>0</v>
      </c>
      <c r="AG252" s="241">
        <v>0</v>
      </c>
      <c r="AH252" s="171" t="s">
        <v>2106</v>
      </c>
      <c r="AI252" s="410">
        <v>2</v>
      </c>
      <c r="AJ252" s="410">
        <v>2</v>
      </c>
      <c r="AK252" s="410" t="s">
        <v>2107</v>
      </c>
      <c r="AL252" s="410">
        <v>0</v>
      </c>
      <c r="AM252" s="410"/>
      <c r="AN252" s="410"/>
      <c r="AO252" s="410">
        <v>0</v>
      </c>
      <c r="AP252" s="410"/>
      <c r="AQ252" s="410"/>
      <c r="AR252" s="410">
        <v>2</v>
      </c>
      <c r="AS252" s="410"/>
      <c r="AT252" s="410"/>
      <c r="AU252" s="410">
        <v>0</v>
      </c>
      <c r="AV252" s="410"/>
      <c r="AW252" s="410"/>
      <c r="AX252" s="410">
        <v>0</v>
      </c>
      <c r="AY252" s="410"/>
      <c r="AZ252" s="410"/>
      <c r="BA252" s="137">
        <v>1</v>
      </c>
      <c r="BB252" s="413"/>
      <c r="BC252" s="413"/>
      <c r="BD252" s="413">
        <f t="shared" si="21"/>
        <v>2.1666666666666665</v>
      </c>
      <c r="BE252" s="413">
        <f t="shared" si="22"/>
        <v>2</v>
      </c>
      <c r="BF252" s="48">
        <f t="shared" si="19"/>
        <v>0.92307692307692313</v>
      </c>
    </row>
    <row r="253" spans="2:58" s="2" customFormat="1" ht="72" hidden="1" customHeight="1">
      <c r="B253" s="44" t="s">
        <v>296</v>
      </c>
      <c r="C253" s="27" t="s">
        <v>2108</v>
      </c>
      <c r="D253" s="673"/>
      <c r="E253" s="410" t="s">
        <v>280</v>
      </c>
      <c r="F253" s="410" t="s">
        <v>2109</v>
      </c>
      <c r="G253" s="410" t="s">
        <v>2110</v>
      </c>
      <c r="H253" s="410" t="s">
        <v>472</v>
      </c>
      <c r="I253" s="410">
        <v>1</v>
      </c>
      <c r="J253" s="410" t="s">
        <v>271</v>
      </c>
      <c r="K253" s="410" t="s">
        <v>79</v>
      </c>
      <c r="L253" s="410" t="s">
        <v>78</v>
      </c>
      <c r="M253" s="410" t="s">
        <v>2111</v>
      </c>
      <c r="N253" s="410" t="s">
        <v>1900</v>
      </c>
      <c r="O253" s="38">
        <v>44197</v>
      </c>
      <c r="P253" s="38">
        <v>44561</v>
      </c>
      <c r="Q253" s="410">
        <f t="shared" si="20"/>
        <v>0.6</v>
      </c>
      <c r="R253" s="410">
        <v>1</v>
      </c>
      <c r="S253" s="413">
        <f t="shared" si="18"/>
        <v>0.99999999999999989</v>
      </c>
      <c r="T253" s="410">
        <v>0</v>
      </c>
      <c r="U253" s="49">
        <v>0</v>
      </c>
      <c r="V253" s="410" t="s">
        <v>288</v>
      </c>
      <c r="W253" s="410">
        <v>0</v>
      </c>
      <c r="X253" s="286">
        <v>0</v>
      </c>
      <c r="Y253" s="410" t="s">
        <v>2112</v>
      </c>
      <c r="Z253" s="410">
        <v>0</v>
      </c>
      <c r="AA253" s="281">
        <v>0</v>
      </c>
      <c r="AB253" s="51" t="s">
        <v>297</v>
      </c>
      <c r="AC253" s="410">
        <v>0</v>
      </c>
      <c r="AD253" s="351">
        <v>0</v>
      </c>
      <c r="AE253" s="352" t="s">
        <v>2113</v>
      </c>
      <c r="AF253" s="410">
        <v>0</v>
      </c>
      <c r="AG253" s="306">
        <v>0</v>
      </c>
      <c r="AH253" s="171" t="s">
        <v>2114</v>
      </c>
      <c r="AI253" s="49">
        <v>0.1</v>
      </c>
      <c r="AJ253" s="410">
        <v>0.6</v>
      </c>
      <c r="AK253" s="410" t="s">
        <v>2115</v>
      </c>
      <c r="AL253" s="49">
        <v>0.2</v>
      </c>
      <c r="AM253" s="410"/>
      <c r="AN253" s="410"/>
      <c r="AO253" s="49">
        <v>0.1</v>
      </c>
      <c r="AP253" s="410"/>
      <c r="AQ253" s="410"/>
      <c r="AR253" s="49">
        <v>0.1</v>
      </c>
      <c r="AS253" s="410"/>
      <c r="AT253" s="410"/>
      <c r="AU253" s="49">
        <v>0.2</v>
      </c>
      <c r="AV253" s="410"/>
      <c r="AW253" s="410"/>
      <c r="AX253" s="49">
        <v>0.2</v>
      </c>
      <c r="AY253" s="410"/>
      <c r="AZ253" s="410"/>
      <c r="BA253" s="173">
        <v>0.1</v>
      </c>
      <c r="BB253" s="413"/>
      <c r="BC253" s="413"/>
      <c r="BD253" s="413">
        <f t="shared" si="21"/>
        <v>0.1</v>
      </c>
      <c r="BE253" s="413">
        <f t="shared" si="22"/>
        <v>0.6</v>
      </c>
      <c r="BF253" s="48">
        <f t="shared" si="19"/>
        <v>5.9999999999999991</v>
      </c>
    </row>
    <row r="254" spans="2:58" s="2" customFormat="1" ht="72" hidden="1" customHeight="1">
      <c r="B254" s="44" t="s">
        <v>298</v>
      </c>
      <c r="C254" s="27" t="s">
        <v>2116</v>
      </c>
      <c r="D254" s="673"/>
      <c r="E254" s="648" t="s">
        <v>280</v>
      </c>
      <c r="F254" s="648" t="s">
        <v>2117</v>
      </c>
      <c r="G254" s="410" t="s">
        <v>2118</v>
      </c>
      <c r="H254" s="410" t="s">
        <v>472</v>
      </c>
      <c r="I254" s="410">
        <v>0.5</v>
      </c>
      <c r="J254" s="410" t="s">
        <v>271</v>
      </c>
      <c r="K254" s="410" t="s">
        <v>79</v>
      </c>
      <c r="L254" s="410" t="s">
        <v>78</v>
      </c>
      <c r="M254" s="410" t="s">
        <v>127</v>
      </c>
      <c r="N254" s="410" t="s">
        <v>1900</v>
      </c>
      <c r="O254" s="38">
        <v>44197</v>
      </c>
      <c r="P254" s="38">
        <v>44561</v>
      </c>
      <c r="Q254" s="410">
        <f t="shared" si="20"/>
        <v>0.3</v>
      </c>
      <c r="R254" s="410">
        <v>1</v>
      </c>
      <c r="S254" s="413">
        <f t="shared" si="18"/>
        <v>1</v>
      </c>
      <c r="T254" s="410">
        <v>0</v>
      </c>
      <c r="U254" s="49">
        <v>0</v>
      </c>
      <c r="V254" s="410" t="s">
        <v>2119</v>
      </c>
      <c r="W254" s="410">
        <v>0</v>
      </c>
      <c r="X254" s="286">
        <v>0</v>
      </c>
      <c r="Y254" s="410" t="s">
        <v>2120</v>
      </c>
      <c r="Z254" s="410">
        <v>0</v>
      </c>
      <c r="AA254" s="281">
        <v>0</v>
      </c>
      <c r="AB254" s="51" t="s">
        <v>2121</v>
      </c>
      <c r="AC254" s="410">
        <v>0</v>
      </c>
      <c r="AD254" s="351">
        <v>0</v>
      </c>
      <c r="AE254" s="352" t="s">
        <v>2122</v>
      </c>
      <c r="AF254" s="410">
        <v>0</v>
      </c>
      <c r="AG254" s="306">
        <v>0</v>
      </c>
      <c r="AH254" s="171" t="s">
        <v>2123</v>
      </c>
      <c r="AI254" s="49">
        <v>0.5</v>
      </c>
      <c r="AJ254" s="410">
        <v>0.3</v>
      </c>
      <c r="AK254" s="410" t="s">
        <v>2124</v>
      </c>
      <c r="AL254" s="410">
        <v>0</v>
      </c>
      <c r="AM254" s="410"/>
      <c r="AN254" s="410"/>
      <c r="AO254" s="410">
        <v>0</v>
      </c>
      <c r="AP254" s="410"/>
      <c r="AQ254" s="410"/>
      <c r="AR254" s="410">
        <v>0</v>
      </c>
      <c r="AS254" s="410"/>
      <c r="AT254" s="410"/>
      <c r="AU254" s="410">
        <v>0</v>
      </c>
      <c r="AV254" s="410"/>
      <c r="AW254" s="410"/>
      <c r="AX254" s="410">
        <v>0</v>
      </c>
      <c r="AY254" s="410"/>
      <c r="AZ254" s="410"/>
      <c r="BA254" s="173">
        <v>0.5</v>
      </c>
      <c r="BB254" s="413"/>
      <c r="BC254" s="413"/>
      <c r="BD254" s="413">
        <f t="shared" si="21"/>
        <v>0.5</v>
      </c>
      <c r="BE254" s="413">
        <f t="shared" si="22"/>
        <v>0.3</v>
      </c>
      <c r="BF254" s="48">
        <f t="shared" si="19"/>
        <v>0.6</v>
      </c>
    </row>
    <row r="255" spans="2:58" s="2" customFormat="1" ht="72" hidden="1" customHeight="1">
      <c r="B255" s="44" t="s">
        <v>298</v>
      </c>
      <c r="C255" s="27" t="s">
        <v>2125</v>
      </c>
      <c r="D255" s="673"/>
      <c r="E255" s="648"/>
      <c r="F255" s="648"/>
      <c r="G255" s="410" t="s">
        <v>2126</v>
      </c>
      <c r="H255" s="410" t="s">
        <v>472</v>
      </c>
      <c r="I255" s="410">
        <v>0.5</v>
      </c>
      <c r="J255" s="410" t="s">
        <v>271</v>
      </c>
      <c r="K255" s="410" t="s">
        <v>79</v>
      </c>
      <c r="L255" s="410" t="s">
        <v>78</v>
      </c>
      <c r="M255" s="410" t="s">
        <v>127</v>
      </c>
      <c r="N255" s="410" t="s">
        <v>1900</v>
      </c>
      <c r="O255" s="38">
        <v>44197</v>
      </c>
      <c r="P255" s="38">
        <v>44561</v>
      </c>
      <c r="Q255" s="410">
        <f t="shared" si="20"/>
        <v>0.60000000000000009</v>
      </c>
      <c r="R255" s="410">
        <v>1</v>
      </c>
      <c r="S255" s="413">
        <f t="shared" si="18"/>
        <v>1</v>
      </c>
      <c r="T255" s="410">
        <v>0</v>
      </c>
      <c r="U255" s="49">
        <v>0</v>
      </c>
      <c r="V255" s="410" t="s">
        <v>2119</v>
      </c>
      <c r="W255" s="410">
        <v>0</v>
      </c>
      <c r="X255" s="286">
        <v>0.2</v>
      </c>
      <c r="Y255" s="410" t="s">
        <v>299</v>
      </c>
      <c r="Z255" s="410">
        <v>0</v>
      </c>
      <c r="AA255" s="286">
        <v>0</v>
      </c>
      <c r="AB255" s="51" t="s">
        <v>2127</v>
      </c>
      <c r="AC255" s="410">
        <v>0</v>
      </c>
      <c r="AD255" s="351">
        <v>0</v>
      </c>
      <c r="AE255" s="352" t="s">
        <v>2128</v>
      </c>
      <c r="AF255" s="410">
        <v>0</v>
      </c>
      <c r="AG255" s="306">
        <v>0</v>
      </c>
      <c r="AH255" s="171" t="s">
        <v>2129</v>
      </c>
      <c r="AI255" s="49">
        <v>0.5</v>
      </c>
      <c r="AJ255" s="410">
        <v>0.4</v>
      </c>
      <c r="AK255" s="410" t="s">
        <v>2130</v>
      </c>
      <c r="AL255" s="410">
        <v>0</v>
      </c>
      <c r="AM255" s="410"/>
      <c r="AN255" s="410"/>
      <c r="AO255" s="410">
        <v>0</v>
      </c>
      <c r="AP255" s="410"/>
      <c r="AQ255" s="410"/>
      <c r="AR255" s="410">
        <v>0</v>
      </c>
      <c r="AS255" s="410"/>
      <c r="AT255" s="410"/>
      <c r="AU255" s="410">
        <v>0</v>
      </c>
      <c r="AV255" s="410"/>
      <c r="AW255" s="410"/>
      <c r="AX255" s="410">
        <v>0</v>
      </c>
      <c r="AY255" s="410"/>
      <c r="AZ255" s="410"/>
      <c r="BA255" s="173">
        <v>0.5</v>
      </c>
      <c r="BB255" s="413"/>
      <c r="BC255" s="413"/>
      <c r="BD255" s="413">
        <f t="shared" si="21"/>
        <v>0.5</v>
      </c>
      <c r="BE255" s="413">
        <f t="shared" si="22"/>
        <v>0.60000000000000009</v>
      </c>
      <c r="BF255" s="48">
        <f t="shared" si="19"/>
        <v>1.2000000000000002</v>
      </c>
    </row>
    <row r="256" spans="2:58" s="2" customFormat="1" ht="72" hidden="1" customHeight="1">
      <c r="B256" s="44" t="s">
        <v>300</v>
      </c>
      <c r="C256" s="27" t="s">
        <v>2131</v>
      </c>
      <c r="D256" s="673"/>
      <c r="E256" s="648" t="s">
        <v>280</v>
      </c>
      <c r="F256" s="648" t="s">
        <v>2132</v>
      </c>
      <c r="G256" s="410" t="s">
        <v>2133</v>
      </c>
      <c r="H256" s="410" t="s">
        <v>472</v>
      </c>
      <c r="I256" s="410">
        <v>0.5</v>
      </c>
      <c r="J256" s="410" t="s">
        <v>271</v>
      </c>
      <c r="K256" s="410" t="s">
        <v>79</v>
      </c>
      <c r="L256" s="410" t="s">
        <v>78</v>
      </c>
      <c r="M256" s="410" t="s">
        <v>712</v>
      </c>
      <c r="N256" s="410" t="s">
        <v>1900</v>
      </c>
      <c r="O256" s="38">
        <v>44197</v>
      </c>
      <c r="P256" s="38">
        <v>44561</v>
      </c>
      <c r="Q256" s="410">
        <f t="shared" si="20"/>
        <v>0.6</v>
      </c>
      <c r="R256" s="410">
        <v>1</v>
      </c>
      <c r="S256" s="413">
        <f t="shared" si="18"/>
        <v>1</v>
      </c>
      <c r="T256" s="410">
        <v>0</v>
      </c>
      <c r="U256" s="49">
        <v>0</v>
      </c>
      <c r="V256" s="410" t="s">
        <v>301</v>
      </c>
      <c r="W256" s="410">
        <v>0</v>
      </c>
      <c r="X256" s="286">
        <v>0</v>
      </c>
      <c r="Y256" s="410" t="s">
        <v>301</v>
      </c>
      <c r="Z256" s="410">
        <v>0</v>
      </c>
      <c r="AA256" s="281">
        <v>0</v>
      </c>
      <c r="AB256" s="51" t="s">
        <v>2134</v>
      </c>
      <c r="AC256" s="49">
        <v>0.25</v>
      </c>
      <c r="AD256" s="353">
        <v>0</v>
      </c>
      <c r="AE256" s="352" t="s">
        <v>2135</v>
      </c>
      <c r="AF256" s="410">
        <v>0</v>
      </c>
      <c r="AG256" s="306">
        <v>0</v>
      </c>
      <c r="AH256" s="171" t="s">
        <v>2136</v>
      </c>
      <c r="AI256" s="410">
        <v>0</v>
      </c>
      <c r="AJ256" s="410">
        <v>0.6</v>
      </c>
      <c r="AK256" s="410" t="s">
        <v>2137</v>
      </c>
      <c r="AL256" s="49">
        <v>0.25</v>
      </c>
      <c r="AM256" s="410"/>
      <c r="AN256" s="410"/>
      <c r="AO256" s="410">
        <v>0</v>
      </c>
      <c r="AP256" s="410"/>
      <c r="AQ256" s="410"/>
      <c r="AR256" s="410">
        <v>0</v>
      </c>
      <c r="AS256" s="410"/>
      <c r="AT256" s="410"/>
      <c r="AU256" s="410">
        <v>0</v>
      </c>
      <c r="AV256" s="410"/>
      <c r="AW256" s="410"/>
      <c r="AX256" s="410">
        <v>0</v>
      </c>
      <c r="AY256" s="410"/>
      <c r="AZ256" s="410"/>
      <c r="BA256" s="173">
        <v>0.5</v>
      </c>
      <c r="BB256" s="413"/>
      <c r="BC256" s="413"/>
      <c r="BD256" s="413">
        <f t="shared" si="21"/>
        <v>0.25</v>
      </c>
      <c r="BE256" s="413">
        <f t="shared" si="22"/>
        <v>0.6</v>
      </c>
      <c r="BF256" s="48">
        <f t="shared" si="19"/>
        <v>2.4</v>
      </c>
    </row>
    <row r="257" spans="2:59" s="2" customFormat="1" ht="72" hidden="1" customHeight="1">
      <c r="B257" s="43" t="s">
        <v>300</v>
      </c>
      <c r="C257" s="100" t="s">
        <v>2138</v>
      </c>
      <c r="D257" s="673"/>
      <c r="E257" s="648"/>
      <c r="F257" s="648"/>
      <c r="G257" s="410" t="s">
        <v>2139</v>
      </c>
      <c r="H257" s="410" t="s">
        <v>472</v>
      </c>
      <c r="I257" s="410">
        <v>0.5</v>
      </c>
      <c r="J257" s="410" t="s">
        <v>271</v>
      </c>
      <c r="K257" s="410" t="s">
        <v>79</v>
      </c>
      <c r="L257" s="410" t="s">
        <v>78</v>
      </c>
      <c r="M257" s="410" t="s">
        <v>712</v>
      </c>
      <c r="N257" s="410" t="s">
        <v>1900</v>
      </c>
      <c r="O257" s="38">
        <v>44197</v>
      </c>
      <c r="P257" s="38">
        <v>44561</v>
      </c>
      <c r="Q257" s="410">
        <f t="shared" si="20"/>
        <v>0.5</v>
      </c>
      <c r="R257" s="410">
        <v>1</v>
      </c>
      <c r="S257" s="413">
        <f t="shared" si="18"/>
        <v>1</v>
      </c>
      <c r="T257" s="410">
        <v>0</v>
      </c>
      <c r="U257" s="49">
        <v>0</v>
      </c>
      <c r="V257" s="410" t="s">
        <v>301</v>
      </c>
      <c r="W257" s="410">
        <v>0</v>
      </c>
      <c r="X257" s="286">
        <v>0</v>
      </c>
      <c r="Y257" s="410" t="s">
        <v>301</v>
      </c>
      <c r="Z257" s="49">
        <v>0.25</v>
      </c>
      <c r="AA257" s="286">
        <v>0</v>
      </c>
      <c r="AB257" s="51" t="s">
        <v>2140</v>
      </c>
      <c r="AC257" s="410">
        <v>0</v>
      </c>
      <c r="AD257" s="351">
        <v>0</v>
      </c>
      <c r="AE257" s="352" t="s">
        <v>2141</v>
      </c>
      <c r="AF257" s="410">
        <v>0</v>
      </c>
      <c r="AG257" s="306">
        <v>0</v>
      </c>
      <c r="AH257" s="171" t="s">
        <v>2142</v>
      </c>
      <c r="AI257" s="49">
        <v>0.25</v>
      </c>
      <c r="AJ257" s="410">
        <v>0.5</v>
      </c>
      <c r="AK257" s="410" t="s">
        <v>2143</v>
      </c>
      <c r="AL257" s="410">
        <v>0</v>
      </c>
      <c r="AM257" s="410"/>
      <c r="AN257" s="410"/>
      <c r="AO257" s="410">
        <v>0</v>
      </c>
      <c r="AP257" s="410"/>
      <c r="AQ257" s="410"/>
      <c r="AR257" s="49">
        <v>0.25</v>
      </c>
      <c r="AS257" s="410"/>
      <c r="AT257" s="410"/>
      <c r="AU257" s="410">
        <v>0</v>
      </c>
      <c r="AV257" s="410"/>
      <c r="AW257" s="410"/>
      <c r="AX257" s="410">
        <v>0</v>
      </c>
      <c r="AY257" s="410"/>
      <c r="AZ257" s="410"/>
      <c r="BA257" s="173">
        <v>0.25</v>
      </c>
      <c r="BB257" s="413"/>
      <c r="BC257" s="413"/>
      <c r="BD257" s="413">
        <f t="shared" si="21"/>
        <v>0.5</v>
      </c>
      <c r="BE257" s="413">
        <f t="shared" si="22"/>
        <v>0.5</v>
      </c>
      <c r="BF257" s="48">
        <f t="shared" si="19"/>
        <v>1</v>
      </c>
    </row>
    <row r="258" spans="2:59" s="2" customFormat="1" ht="66.75" hidden="1" customHeight="1" thickBot="1">
      <c r="B258" s="44" t="s">
        <v>279</v>
      </c>
      <c r="C258" s="27" t="s">
        <v>2144</v>
      </c>
      <c r="D258" s="674"/>
      <c r="E258" s="411" t="s">
        <v>280</v>
      </c>
      <c r="F258" s="411" t="s">
        <v>2025</v>
      </c>
      <c r="G258" s="411" t="s">
        <v>2145</v>
      </c>
      <c r="H258" s="411" t="s">
        <v>690</v>
      </c>
      <c r="I258" s="411">
        <v>1</v>
      </c>
      <c r="J258" s="411" t="s">
        <v>271</v>
      </c>
      <c r="K258" s="411" t="s">
        <v>73</v>
      </c>
      <c r="L258" s="411" t="s">
        <v>72</v>
      </c>
      <c r="M258" s="411" t="s">
        <v>712</v>
      </c>
      <c r="N258" s="411" t="s">
        <v>1900</v>
      </c>
      <c r="O258" s="42">
        <v>44197</v>
      </c>
      <c r="P258" s="42">
        <v>44561</v>
      </c>
      <c r="Q258" s="411">
        <f t="shared" si="20"/>
        <v>1.5921052631578947</v>
      </c>
      <c r="R258" s="411">
        <v>152</v>
      </c>
      <c r="S258" s="143">
        <f t="shared" si="18"/>
        <v>152</v>
      </c>
      <c r="T258" s="411">
        <v>0</v>
      </c>
      <c r="U258" s="411">
        <v>0</v>
      </c>
      <c r="V258" s="411"/>
      <c r="W258" s="411">
        <v>0</v>
      </c>
      <c r="X258" s="411">
        <v>0</v>
      </c>
      <c r="Y258" s="411"/>
      <c r="Z258" s="53">
        <v>0</v>
      </c>
      <c r="AA258" s="411">
        <v>0</v>
      </c>
      <c r="AB258" s="176"/>
      <c r="AC258" s="411">
        <v>0</v>
      </c>
      <c r="AD258" s="411">
        <v>0</v>
      </c>
      <c r="AE258" s="411" t="s">
        <v>2146</v>
      </c>
      <c r="AF258" s="411">
        <v>0</v>
      </c>
      <c r="AG258" s="411">
        <v>0</v>
      </c>
      <c r="AH258" s="411"/>
      <c r="AI258" s="53">
        <v>0</v>
      </c>
      <c r="AJ258" s="411">
        <f>242/R258</f>
        <v>1.5921052631578947</v>
      </c>
      <c r="AK258" s="411" t="s">
        <v>2147</v>
      </c>
      <c r="AL258" s="411">
        <v>0</v>
      </c>
      <c r="AM258" s="411"/>
      <c r="AN258" s="411"/>
      <c r="AO258" s="411">
        <v>0</v>
      </c>
      <c r="AP258" s="411"/>
      <c r="AQ258" s="411"/>
      <c r="AR258" s="53">
        <v>0</v>
      </c>
      <c r="AS258" s="411"/>
      <c r="AT258" s="411"/>
      <c r="AU258" s="411">
        <v>0</v>
      </c>
      <c r="AV258" s="411"/>
      <c r="AW258" s="411"/>
      <c r="AX258" s="411">
        <v>0</v>
      </c>
      <c r="AY258" s="411"/>
      <c r="AZ258" s="411"/>
      <c r="BA258" s="192">
        <v>152</v>
      </c>
      <c r="BB258" s="143"/>
      <c r="BC258" s="143"/>
      <c r="BD258" s="413">
        <f t="shared" si="21"/>
        <v>0</v>
      </c>
      <c r="BE258" s="413">
        <f t="shared" si="22"/>
        <v>1.5921052631578947</v>
      </c>
      <c r="BF258" s="52">
        <f t="shared" si="19"/>
        <v>1.0474376731301938E-2</v>
      </c>
    </row>
    <row r="259" spans="2:59" s="2" customFormat="1" ht="51.75" hidden="1" customHeight="1">
      <c r="B259" s="7" t="s">
        <v>302</v>
      </c>
      <c r="C259" s="101" t="s">
        <v>2148</v>
      </c>
      <c r="D259" s="663" t="s">
        <v>25</v>
      </c>
      <c r="E259" s="660" t="s">
        <v>303</v>
      </c>
      <c r="F259" s="660" t="s">
        <v>2149</v>
      </c>
      <c r="G259" s="69" t="s">
        <v>2150</v>
      </c>
      <c r="H259" s="69" t="s">
        <v>690</v>
      </c>
      <c r="I259" s="69">
        <v>0.3</v>
      </c>
      <c r="J259" s="69" t="s">
        <v>306</v>
      </c>
      <c r="K259" s="69" t="s">
        <v>73</v>
      </c>
      <c r="L259" s="69" t="s">
        <v>304</v>
      </c>
      <c r="M259" s="69" t="s">
        <v>66</v>
      </c>
      <c r="N259" s="69" t="s">
        <v>2151</v>
      </c>
      <c r="O259" s="70">
        <v>44197</v>
      </c>
      <c r="P259" s="70">
        <v>44561</v>
      </c>
      <c r="Q259" s="69">
        <f>+U259+X259+AA259+AD259+AG259+AJ259+AM259+AP259+AS259+AV259+AY259+BB259</f>
        <v>0</v>
      </c>
      <c r="R259" s="69">
        <v>1000</v>
      </c>
      <c r="S259" s="71">
        <f t="shared" si="18"/>
        <v>1000</v>
      </c>
      <c r="T259" s="69">
        <v>0</v>
      </c>
      <c r="U259" s="69">
        <v>0</v>
      </c>
      <c r="V259" s="69" t="s">
        <v>2152</v>
      </c>
      <c r="W259" s="69">
        <v>0</v>
      </c>
      <c r="X259" s="69">
        <v>0</v>
      </c>
      <c r="Y259" s="69" t="s">
        <v>2153</v>
      </c>
      <c r="Z259" s="69">
        <v>0</v>
      </c>
      <c r="AA259" s="83">
        <v>0</v>
      </c>
      <c r="AB259" s="83" t="s">
        <v>2153</v>
      </c>
      <c r="AC259" s="69">
        <v>0</v>
      </c>
      <c r="AD259" s="83">
        <v>0</v>
      </c>
      <c r="AE259" s="83" t="s">
        <v>2154</v>
      </c>
      <c r="AF259" s="69">
        <v>0</v>
      </c>
      <c r="AG259" s="246">
        <v>0</v>
      </c>
      <c r="AH259" s="151" t="s">
        <v>2155</v>
      </c>
      <c r="AI259" s="69">
        <v>0</v>
      </c>
      <c r="AJ259" s="69">
        <v>0</v>
      </c>
      <c r="AK259" s="69" t="s">
        <v>2156</v>
      </c>
      <c r="AL259" s="69">
        <v>0</v>
      </c>
      <c r="AM259" s="69"/>
      <c r="AN259" s="69"/>
      <c r="AO259" s="69">
        <v>0</v>
      </c>
      <c r="AP259" s="69"/>
      <c r="AQ259" s="69"/>
      <c r="AR259" s="69">
        <v>0</v>
      </c>
      <c r="AS259" s="69"/>
      <c r="AT259" s="69"/>
      <c r="AU259" s="69">
        <v>1000</v>
      </c>
      <c r="AV259" s="69"/>
      <c r="AW259" s="69"/>
      <c r="AX259" s="69">
        <v>0</v>
      </c>
      <c r="AY259" s="69"/>
      <c r="AZ259" s="69"/>
      <c r="BA259" s="69">
        <v>0</v>
      </c>
      <c r="BB259" s="71"/>
      <c r="BC259" s="71"/>
      <c r="BD259" s="413">
        <f t="shared" si="21"/>
        <v>0</v>
      </c>
      <c r="BE259" s="413">
        <f t="shared" si="22"/>
        <v>0</v>
      </c>
      <c r="BF259" s="72" t="str">
        <f t="shared" si="19"/>
        <v>No programación, No avance</v>
      </c>
      <c r="BG259" s="2">
        <f>+AVERAGE(BF259:BF289)</f>
        <v>0.63616774661675468</v>
      </c>
    </row>
    <row r="260" spans="2:59" s="2" customFormat="1" ht="47.25" hidden="1" customHeight="1">
      <c r="B260" s="44" t="s">
        <v>302</v>
      </c>
      <c r="C260" s="27" t="s">
        <v>2157</v>
      </c>
      <c r="D260" s="664"/>
      <c r="E260" s="661"/>
      <c r="F260" s="661"/>
      <c r="G260" s="417" t="s">
        <v>2158</v>
      </c>
      <c r="H260" s="417" t="s">
        <v>472</v>
      </c>
      <c r="I260" s="417">
        <v>0.7</v>
      </c>
      <c r="J260" s="417" t="s">
        <v>306</v>
      </c>
      <c r="K260" s="417" t="s">
        <v>73</v>
      </c>
      <c r="L260" s="417" t="s">
        <v>2159</v>
      </c>
      <c r="M260" s="417" t="s">
        <v>2160</v>
      </c>
      <c r="N260" s="417" t="s">
        <v>2151</v>
      </c>
      <c r="O260" s="40">
        <v>44197</v>
      </c>
      <c r="P260" s="40">
        <v>44561</v>
      </c>
      <c r="Q260" s="417">
        <f t="shared" si="20"/>
        <v>0</v>
      </c>
      <c r="R260" s="417">
        <v>1</v>
      </c>
      <c r="S260" s="41">
        <f t="shared" si="18"/>
        <v>1</v>
      </c>
      <c r="T260" s="417">
        <v>0</v>
      </c>
      <c r="U260" s="417">
        <v>0</v>
      </c>
      <c r="V260" s="417" t="s">
        <v>2161</v>
      </c>
      <c r="W260" s="417">
        <v>0</v>
      </c>
      <c r="X260" s="417">
        <v>0</v>
      </c>
      <c r="Y260" s="417" t="s">
        <v>2161</v>
      </c>
      <c r="Z260" s="417">
        <v>0</v>
      </c>
      <c r="AA260" s="82">
        <v>0</v>
      </c>
      <c r="AB260" s="82" t="s">
        <v>2161</v>
      </c>
      <c r="AC260" s="417">
        <v>0</v>
      </c>
      <c r="AD260" s="82">
        <v>0</v>
      </c>
      <c r="AE260" s="82" t="s">
        <v>2162</v>
      </c>
      <c r="AF260" s="417">
        <v>0</v>
      </c>
      <c r="AG260" s="247">
        <v>0</v>
      </c>
      <c r="AH260" s="207" t="s">
        <v>2163</v>
      </c>
      <c r="AI260" s="417">
        <v>0</v>
      </c>
      <c r="AJ260" s="417">
        <v>0</v>
      </c>
      <c r="AK260" s="417" t="s">
        <v>2156</v>
      </c>
      <c r="AL260" s="417">
        <v>0</v>
      </c>
      <c r="AM260" s="417"/>
      <c r="AN260" s="417"/>
      <c r="AO260" s="417">
        <v>0</v>
      </c>
      <c r="AP260" s="417"/>
      <c r="AQ260" s="417"/>
      <c r="AR260" s="417">
        <v>1</v>
      </c>
      <c r="AS260" s="417"/>
      <c r="AT260" s="417"/>
      <c r="AU260" s="417">
        <v>0</v>
      </c>
      <c r="AV260" s="417"/>
      <c r="AW260" s="417"/>
      <c r="AX260" s="417">
        <v>0</v>
      </c>
      <c r="AY260" s="417"/>
      <c r="AZ260" s="417"/>
      <c r="BA260" s="417">
        <v>0</v>
      </c>
      <c r="BB260" s="41"/>
      <c r="BC260" s="41"/>
      <c r="BD260" s="413">
        <f t="shared" si="21"/>
        <v>0</v>
      </c>
      <c r="BE260" s="413">
        <f t="shared" si="22"/>
        <v>0</v>
      </c>
      <c r="BF260" s="68" t="str">
        <f t="shared" si="19"/>
        <v>No programación, No avance</v>
      </c>
    </row>
    <row r="261" spans="2:59" s="2" customFormat="1" ht="24" hidden="1" customHeight="1">
      <c r="B261" s="44" t="s">
        <v>307</v>
      </c>
      <c r="C261" s="27" t="s">
        <v>2164</v>
      </c>
      <c r="D261" s="664"/>
      <c r="E261" s="661" t="s">
        <v>308</v>
      </c>
      <c r="F261" s="661" t="s">
        <v>2165</v>
      </c>
      <c r="G261" s="414" t="s">
        <v>2166</v>
      </c>
      <c r="H261" s="414" t="s">
        <v>472</v>
      </c>
      <c r="I261" s="414">
        <v>0.1</v>
      </c>
      <c r="J261" s="414" t="s">
        <v>309</v>
      </c>
      <c r="K261" s="414" t="s">
        <v>73</v>
      </c>
      <c r="L261" s="414" t="s">
        <v>2167</v>
      </c>
      <c r="M261" s="414" t="s">
        <v>2168</v>
      </c>
      <c r="N261" s="414" t="s">
        <v>2169</v>
      </c>
      <c r="O261" s="59">
        <v>44197</v>
      </c>
      <c r="P261" s="59">
        <v>44561</v>
      </c>
      <c r="Q261" s="414">
        <f t="shared" si="20"/>
        <v>1.3007435968052878</v>
      </c>
      <c r="R261" s="414">
        <v>3631</v>
      </c>
      <c r="S261" s="142">
        <f t="shared" si="18"/>
        <v>3631</v>
      </c>
      <c r="T261" s="414">
        <v>0</v>
      </c>
      <c r="U261" s="414">
        <v>0</v>
      </c>
      <c r="V261" s="414" t="s">
        <v>2170</v>
      </c>
      <c r="W261" s="414">
        <v>0</v>
      </c>
      <c r="X261" s="414">
        <v>0</v>
      </c>
      <c r="Y261" s="414" t="s">
        <v>2153</v>
      </c>
      <c r="Z261" s="414">
        <v>0</v>
      </c>
      <c r="AA261" s="61">
        <v>0</v>
      </c>
      <c r="AB261" s="61" t="s">
        <v>2153</v>
      </c>
      <c r="AC261" s="414">
        <v>0</v>
      </c>
      <c r="AD261" s="61">
        <f>4603/R261</f>
        <v>1.2676948499036078</v>
      </c>
      <c r="AE261" s="61" t="s">
        <v>2171</v>
      </c>
      <c r="AF261" s="414">
        <v>0</v>
      </c>
      <c r="AG261" s="248">
        <v>0</v>
      </c>
      <c r="AH261" s="149" t="s">
        <v>2153</v>
      </c>
      <c r="AI261" s="414">
        <v>0</v>
      </c>
      <c r="AJ261" s="414">
        <f>120/S261</f>
        <v>3.3048746901679978E-2</v>
      </c>
      <c r="AK261" s="414" t="s">
        <v>2172</v>
      </c>
      <c r="AL261" s="414">
        <v>0</v>
      </c>
      <c r="AM261" s="414"/>
      <c r="AN261" s="414"/>
      <c r="AO261" s="414">
        <v>0</v>
      </c>
      <c r="AP261" s="414"/>
      <c r="AQ261" s="414"/>
      <c r="AR261" s="414">
        <v>3631</v>
      </c>
      <c r="AS261" s="414"/>
      <c r="AT261" s="414"/>
      <c r="AU261" s="414">
        <v>0</v>
      </c>
      <c r="AV261" s="414"/>
      <c r="AW261" s="414"/>
      <c r="AX261" s="414">
        <v>0</v>
      </c>
      <c r="AY261" s="414"/>
      <c r="AZ261" s="414"/>
      <c r="BA261" s="137">
        <v>0</v>
      </c>
      <c r="BB261" s="142"/>
      <c r="BC261" s="142"/>
      <c r="BD261" s="413">
        <f t="shared" si="21"/>
        <v>0</v>
      </c>
      <c r="BE261" s="413">
        <f t="shared" si="22"/>
        <v>1.3007435968052878</v>
      </c>
      <c r="BF261" s="60">
        <f t="shared" si="19"/>
        <v>3.5823288262332354E-4</v>
      </c>
    </row>
    <row r="262" spans="2:59" s="2" customFormat="1" ht="156.75" hidden="1" thickBot="1">
      <c r="B262" s="44" t="s">
        <v>307</v>
      </c>
      <c r="C262" s="27" t="s">
        <v>2173</v>
      </c>
      <c r="D262" s="664"/>
      <c r="E262" s="661"/>
      <c r="F262" s="661"/>
      <c r="G262" s="414" t="s">
        <v>2174</v>
      </c>
      <c r="H262" s="414" t="s">
        <v>472</v>
      </c>
      <c r="I262" s="414">
        <v>0.15</v>
      </c>
      <c r="J262" s="414" t="s">
        <v>309</v>
      </c>
      <c r="K262" s="414" t="s">
        <v>73</v>
      </c>
      <c r="L262" s="414" t="s">
        <v>2175</v>
      </c>
      <c r="M262" s="414" t="s">
        <v>2176</v>
      </c>
      <c r="N262" s="414" t="s">
        <v>2169</v>
      </c>
      <c r="O262" s="59">
        <v>44197</v>
      </c>
      <c r="P262" s="59">
        <v>44561</v>
      </c>
      <c r="Q262" s="414">
        <f t="shared" si="20"/>
        <v>0</v>
      </c>
      <c r="R262" s="414">
        <v>3</v>
      </c>
      <c r="S262" s="142">
        <f t="shared" si="18"/>
        <v>3</v>
      </c>
      <c r="T262" s="414">
        <v>0</v>
      </c>
      <c r="U262" s="414">
        <v>0</v>
      </c>
      <c r="V262" s="414" t="s">
        <v>2177</v>
      </c>
      <c r="W262" s="414">
        <v>0</v>
      </c>
      <c r="X262" s="414">
        <v>0</v>
      </c>
      <c r="Y262" s="414" t="s">
        <v>2178</v>
      </c>
      <c r="Z262" s="414">
        <v>0</v>
      </c>
      <c r="AA262" s="61">
        <v>0</v>
      </c>
      <c r="AB262" s="61" t="s">
        <v>2153</v>
      </c>
      <c r="AC262" s="414">
        <v>0</v>
      </c>
      <c r="AD262" s="61">
        <v>0</v>
      </c>
      <c r="AE262" s="61" t="s">
        <v>2179</v>
      </c>
      <c r="AF262" s="414">
        <v>0</v>
      </c>
      <c r="AG262" s="248">
        <v>0</v>
      </c>
      <c r="AH262" s="149" t="s">
        <v>2153</v>
      </c>
      <c r="AI262" s="414">
        <v>0</v>
      </c>
      <c r="AJ262" s="414">
        <v>0</v>
      </c>
      <c r="AK262" s="414" t="s">
        <v>2180</v>
      </c>
      <c r="AL262" s="414">
        <v>0</v>
      </c>
      <c r="AM262" s="414"/>
      <c r="AN262" s="414"/>
      <c r="AO262" s="414">
        <v>0</v>
      </c>
      <c r="AP262" s="414"/>
      <c r="AQ262" s="414"/>
      <c r="AR262" s="414">
        <v>3</v>
      </c>
      <c r="AS262" s="414"/>
      <c r="AT262" s="414"/>
      <c r="AU262" s="414">
        <v>0</v>
      </c>
      <c r="AV262" s="414"/>
      <c r="AW262" s="414"/>
      <c r="AX262" s="414">
        <v>0</v>
      </c>
      <c r="AY262" s="414"/>
      <c r="AZ262" s="414"/>
      <c r="BA262" s="137">
        <v>0</v>
      </c>
      <c r="BB262" s="142"/>
      <c r="BC262" s="142"/>
      <c r="BD262" s="413">
        <f t="shared" si="21"/>
        <v>0</v>
      </c>
      <c r="BE262" s="413">
        <f t="shared" si="22"/>
        <v>0</v>
      </c>
      <c r="BF262" s="60" t="str">
        <f t="shared" si="19"/>
        <v>No programación, No avance</v>
      </c>
    </row>
    <row r="263" spans="2:59" s="2" customFormat="1" ht="60" hidden="1" customHeight="1">
      <c r="B263" s="44" t="s">
        <v>307</v>
      </c>
      <c r="C263" s="27" t="s">
        <v>2181</v>
      </c>
      <c r="D263" s="664"/>
      <c r="E263" s="661"/>
      <c r="F263" s="661"/>
      <c r="G263" s="414" t="s">
        <v>2182</v>
      </c>
      <c r="H263" s="414" t="s">
        <v>472</v>
      </c>
      <c r="I263" s="414">
        <v>0.35</v>
      </c>
      <c r="J263" s="414" t="s">
        <v>309</v>
      </c>
      <c r="K263" s="414" t="s">
        <v>79</v>
      </c>
      <c r="L263" s="414" t="s">
        <v>2183</v>
      </c>
      <c r="M263" s="414" t="s">
        <v>2176</v>
      </c>
      <c r="N263" s="414" t="s">
        <v>2169</v>
      </c>
      <c r="O263" s="59">
        <v>44197</v>
      </c>
      <c r="P263" s="59">
        <v>44561</v>
      </c>
      <c r="Q263" s="414">
        <f t="shared" si="20"/>
        <v>0.6</v>
      </c>
      <c r="R263" s="414">
        <v>1</v>
      </c>
      <c r="S263" s="142">
        <f t="shared" si="18"/>
        <v>1</v>
      </c>
      <c r="T263" s="414">
        <v>0</v>
      </c>
      <c r="U263" s="414">
        <v>0</v>
      </c>
      <c r="V263" s="414" t="s">
        <v>2184</v>
      </c>
      <c r="W263" s="414">
        <v>0</v>
      </c>
      <c r="X263" s="63">
        <v>0</v>
      </c>
      <c r="Y263" s="414" t="s">
        <v>2153</v>
      </c>
      <c r="Z263" s="414">
        <v>0</v>
      </c>
      <c r="AA263" s="287">
        <v>0</v>
      </c>
      <c r="AB263" s="61" t="s">
        <v>2153</v>
      </c>
      <c r="AC263" s="414">
        <v>0</v>
      </c>
      <c r="AD263" s="287">
        <v>0.5</v>
      </c>
      <c r="AE263" s="61" t="s">
        <v>2185</v>
      </c>
      <c r="AF263" s="414">
        <v>0</v>
      </c>
      <c r="AG263" s="310">
        <v>0</v>
      </c>
      <c r="AH263" s="149" t="s">
        <v>2153</v>
      </c>
      <c r="AI263" s="414">
        <v>0</v>
      </c>
      <c r="AJ263" s="414">
        <v>0.1</v>
      </c>
      <c r="AK263" s="414" t="s">
        <v>2186</v>
      </c>
      <c r="AL263" s="414">
        <v>0</v>
      </c>
      <c r="AM263" s="414"/>
      <c r="AN263" s="414"/>
      <c r="AO263" s="414">
        <v>0</v>
      </c>
      <c r="AP263" s="414"/>
      <c r="AQ263" s="414"/>
      <c r="AR263" s="414">
        <v>0</v>
      </c>
      <c r="AS263" s="414"/>
      <c r="AT263" s="414"/>
      <c r="AU263" s="414">
        <v>0</v>
      </c>
      <c r="AV263" s="414"/>
      <c r="AW263" s="414"/>
      <c r="AX263" s="414">
        <v>0</v>
      </c>
      <c r="AY263" s="414"/>
      <c r="AZ263" s="414"/>
      <c r="BA263" s="173">
        <v>1</v>
      </c>
      <c r="BB263" s="142"/>
      <c r="BC263" s="142"/>
      <c r="BD263" s="413">
        <f t="shared" si="21"/>
        <v>0</v>
      </c>
      <c r="BE263" s="413">
        <f t="shared" si="22"/>
        <v>0.6</v>
      </c>
      <c r="BF263" s="60">
        <f t="shared" si="19"/>
        <v>0.6</v>
      </c>
    </row>
    <row r="264" spans="2:59" s="2" customFormat="1" ht="70.5" hidden="1" customHeight="1">
      <c r="B264" s="44" t="s">
        <v>307</v>
      </c>
      <c r="C264" s="27" t="s">
        <v>2187</v>
      </c>
      <c r="D264" s="664"/>
      <c r="E264" s="661"/>
      <c r="F264" s="661"/>
      <c r="G264" s="417" t="s">
        <v>2188</v>
      </c>
      <c r="H264" s="417" t="s">
        <v>472</v>
      </c>
      <c r="I264" s="417">
        <v>0.25</v>
      </c>
      <c r="J264" s="417" t="s">
        <v>309</v>
      </c>
      <c r="K264" s="417" t="s">
        <v>79</v>
      </c>
      <c r="L264" s="417" t="s">
        <v>2183</v>
      </c>
      <c r="M264" s="417" t="s">
        <v>2176</v>
      </c>
      <c r="N264" s="417" t="s">
        <v>2169</v>
      </c>
      <c r="O264" s="40">
        <v>44197</v>
      </c>
      <c r="P264" s="40">
        <v>44561</v>
      </c>
      <c r="Q264" s="417">
        <f t="shared" si="20"/>
        <v>0.6</v>
      </c>
      <c r="R264" s="417">
        <v>1</v>
      </c>
      <c r="S264" s="41">
        <f t="shared" si="18"/>
        <v>1</v>
      </c>
      <c r="T264" s="417">
        <v>0</v>
      </c>
      <c r="U264" s="417">
        <v>0</v>
      </c>
      <c r="V264" s="417" t="s">
        <v>2189</v>
      </c>
      <c r="W264" s="417">
        <v>0</v>
      </c>
      <c r="X264" s="81">
        <v>0</v>
      </c>
      <c r="Y264" s="417" t="s">
        <v>2153</v>
      </c>
      <c r="Z264" s="417">
        <v>0</v>
      </c>
      <c r="AA264" s="295">
        <v>0</v>
      </c>
      <c r="AB264" s="82" t="s">
        <v>2153</v>
      </c>
      <c r="AC264" s="417">
        <v>0</v>
      </c>
      <c r="AD264" s="295">
        <v>0</v>
      </c>
      <c r="AE264" s="82" t="s">
        <v>2190</v>
      </c>
      <c r="AF264" s="417">
        <v>0</v>
      </c>
      <c r="AG264" s="311">
        <v>0</v>
      </c>
      <c r="AH264" s="207" t="s">
        <v>2153</v>
      </c>
      <c r="AI264" s="417">
        <v>0</v>
      </c>
      <c r="AJ264" s="417" t="s">
        <v>2191</v>
      </c>
      <c r="AK264" s="417" t="s">
        <v>2192</v>
      </c>
      <c r="AL264" s="417">
        <v>0</v>
      </c>
      <c r="AM264" s="417"/>
      <c r="AN264" s="417"/>
      <c r="AO264" s="417">
        <v>0</v>
      </c>
      <c r="AP264" s="417"/>
      <c r="AQ264" s="417"/>
      <c r="AR264" s="417">
        <v>0</v>
      </c>
      <c r="AS264" s="417"/>
      <c r="AT264" s="417"/>
      <c r="AU264" s="81">
        <v>1</v>
      </c>
      <c r="AV264" s="417"/>
      <c r="AW264" s="417"/>
      <c r="AX264" s="417">
        <v>0</v>
      </c>
      <c r="AY264" s="417"/>
      <c r="AZ264" s="417"/>
      <c r="BA264" s="417">
        <v>0</v>
      </c>
      <c r="BB264" s="41"/>
      <c r="BC264" s="41"/>
      <c r="BD264" s="413">
        <f t="shared" si="21"/>
        <v>0</v>
      </c>
      <c r="BE264" s="413">
        <f t="shared" si="22"/>
        <v>0.6</v>
      </c>
      <c r="BF264" s="68">
        <f t="shared" si="19"/>
        <v>0.6</v>
      </c>
    </row>
    <row r="265" spans="2:59" s="2" customFormat="1" ht="79.5" hidden="1" customHeight="1">
      <c r="B265" s="44" t="s">
        <v>307</v>
      </c>
      <c r="C265" s="27" t="s">
        <v>2193</v>
      </c>
      <c r="D265" s="664"/>
      <c r="E265" s="661"/>
      <c r="F265" s="661"/>
      <c r="G265" s="414" t="s">
        <v>2194</v>
      </c>
      <c r="H265" s="414" t="s">
        <v>472</v>
      </c>
      <c r="I265" s="414">
        <v>0.05</v>
      </c>
      <c r="J265" s="414" t="s">
        <v>309</v>
      </c>
      <c r="K265" s="414" t="s">
        <v>73</v>
      </c>
      <c r="L265" s="414" t="s">
        <v>2195</v>
      </c>
      <c r="M265" s="414" t="s">
        <v>2196</v>
      </c>
      <c r="N265" s="414" t="s">
        <v>2169</v>
      </c>
      <c r="O265" s="59">
        <v>44197</v>
      </c>
      <c r="P265" s="59">
        <v>44561</v>
      </c>
      <c r="Q265" s="414">
        <f t="shared" si="20"/>
        <v>0</v>
      </c>
      <c r="R265" s="414">
        <v>1</v>
      </c>
      <c r="S265" s="142">
        <f t="shared" si="18"/>
        <v>1</v>
      </c>
      <c r="T265" s="414">
        <v>0</v>
      </c>
      <c r="U265" s="414">
        <v>0</v>
      </c>
      <c r="V265" s="414" t="s">
        <v>305</v>
      </c>
      <c r="W265" s="414">
        <v>0</v>
      </c>
      <c r="X265" s="414">
        <v>0</v>
      </c>
      <c r="Y265" s="414" t="s">
        <v>305</v>
      </c>
      <c r="Z265" s="414">
        <v>0</v>
      </c>
      <c r="AA265" s="61">
        <v>0</v>
      </c>
      <c r="AB265" s="61" t="s">
        <v>305</v>
      </c>
      <c r="AC265" s="414">
        <v>0</v>
      </c>
      <c r="AD265" s="61">
        <v>0</v>
      </c>
      <c r="AE265" s="61" t="s">
        <v>2197</v>
      </c>
      <c r="AF265" s="414">
        <v>0</v>
      </c>
      <c r="AG265" s="248">
        <v>0</v>
      </c>
      <c r="AH265" s="149" t="s">
        <v>2153</v>
      </c>
      <c r="AI265" s="414">
        <v>0</v>
      </c>
      <c r="AJ265" s="414">
        <v>0</v>
      </c>
      <c r="AK265" s="414" t="s">
        <v>2198</v>
      </c>
      <c r="AL265" s="414">
        <v>0</v>
      </c>
      <c r="AM265" s="414"/>
      <c r="AN265" s="414"/>
      <c r="AO265" s="414">
        <v>0</v>
      </c>
      <c r="AP265" s="414"/>
      <c r="AQ265" s="414"/>
      <c r="AR265" s="414">
        <v>0</v>
      </c>
      <c r="AS265" s="414"/>
      <c r="AT265" s="414"/>
      <c r="AU265" s="414">
        <v>1</v>
      </c>
      <c r="AV265" s="414"/>
      <c r="AW265" s="414"/>
      <c r="AX265" s="414">
        <v>0</v>
      </c>
      <c r="AY265" s="414"/>
      <c r="AZ265" s="414"/>
      <c r="BA265" s="137">
        <v>0</v>
      </c>
      <c r="BB265" s="142"/>
      <c r="BC265" s="142"/>
      <c r="BD265" s="413">
        <f t="shared" si="21"/>
        <v>0</v>
      </c>
      <c r="BE265" s="413">
        <f t="shared" si="22"/>
        <v>0</v>
      </c>
      <c r="BF265" s="60" t="str">
        <f t="shared" si="19"/>
        <v>No programación, No avance</v>
      </c>
    </row>
    <row r="266" spans="2:59" s="2" customFormat="1" ht="108.75" hidden="1" thickBot="1">
      <c r="B266" s="44" t="s">
        <v>307</v>
      </c>
      <c r="C266" s="27" t="s">
        <v>2199</v>
      </c>
      <c r="D266" s="664"/>
      <c r="E266" s="661"/>
      <c r="F266" s="661"/>
      <c r="G266" s="417" t="s">
        <v>2200</v>
      </c>
      <c r="H266" s="90" t="s">
        <v>690</v>
      </c>
      <c r="I266" s="417">
        <v>0.1</v>
      </c>
      <c r="J266" s="417" t="s">
        <v>309</v>
      </c>
      <c r="K266" s="417" t="s">
        <v>73</v>
      </c>
      <c r="L266" s="417" t="s">
        <v>2201</v>
      </c>
      <c r="M266" s="417" t="s">
        <v>2202</v>
      </c>
      <c r="N266" s="417" t="s">
        <v>2169</v>
      </c>
      <c r="O266" s="40">
        <v>44197</v>
      </c>
      <c r="P266" s="40">
        <v>44561</v>
      </c>
      <c r="Q266" s="417">
        <f t="shared" si="20"/>
        <v>0.15556538461538461</v>
      </c>
      <c r="R266" s="417">
        <v>2600000</v>
      </c>
      <c r="S266" s="41">
        <f t="shared" si="18"/>
        <v>2600000</v>
      </c>
      <c r="T266" s="417">
        <v>0</v>
      </c>
      <c r="U266" s="417">
        <v>0</v>
      </c>
      <c r="V266" s="417" t="s">
        <v>2203</v>
      </c>
      <c r="W266" s="417">
        <v>0</v>
      </c>
      <c r="X266" s="417">
        <v>0</v>
      </c>
      <c r="Y266" s="417" t="s">
        <v>2153</v>
      </c>
      <c r="Z266" s="417">
        <v>0</v>
      </c>
      <c r="AA266" s="82">
        <v>0</v>
      </c>
      <c r="AB266" s="82" t="s">
        <v>2153</v>
      </c>
      <c r="AC266" s="417">
        <v>0</v>
      </c>
      <c r="AD266" s="82">
        <f>404470/R266</f>
        <v>0.15556538461538461</v>
      </c>
      <c r="AE266" s="82" t="s">
        <v>2204</v>
      </c>
      <c r="AF266" s="417">
        <v>0</v>
      </c>
      <c r="AG266" s="247">
        <v>0</v>
      </c>
      <c r="AH266" s="207" t="s">
        <v>2153</v>
      </c>
      <c r="AI266" s="417">
        <v>0</v>
      </c>
      <c r="AJ266" s="417">
        <v>0</v>
      </c>
      <c r="AK266" s="417" t="s">
        <v>2205</v>
      </c>
      <c r="AL266" s="417">
        <v>0</v>
      </c>
      <c r="AM266" s="417"/>
      <c r="AN266" s="417"/>
      <c r="AO266" s="417">
        <v>0</v>
      </c>
      <c r="AP266" s="417"/>
      <c r="AQ266" s="417"/>
      <c r="AR266" s="417">
        <v>0</v>
      </c>
      <c r="AS266" s="417"/>
      <c r="AT266" s="417"/>
      <c r="AU266" s="417">
        <v>0</v>
      </c>
      <c r="AV266" s="417"/>
      <c r="AW266" s="417"/>
      <c r="AX266" s="417">
        <v>0</v>
      </c>
      <c r="AY266" s="417"/>
      <c r="AZ266" s="417"/>
      <c r="BA266" s="417">
        <v>2600000</v>
      </c>
      <c r="BB266" s="41"/>
      <c r="BC266" s="41"/>
      <c r="BD266" s="413">
        <f t="shared" si="21"/>
        <v>0</v>
      </c>
      <c r="BE266" s="413">
        <f t="shared" si="22"/>
        <v>0.15556538461538461</v>
      </c>
      <c r="BF266" s="68">
        <f t="shared" si="19"/>
        <v>5.9832840236686382E-8</v>
      </c>
    </row>
    <row r="267" spans="2:59" s="2" customFormat="1" ht="24" hidden="1" customHeight="1">
      <c r="B267" s="44" t="s">
        <v>310</v>
      </c>
      <c r="C267" s="27" t="s">
        <v>2206</v>
      </c>
      <c r="D267" s="664"/>
      <c r="E267" s="661" t="s">
        <v>311</v>
      </c>
      <c r="F267" s="661" t="s">
        <v>2207</v>
      </c>
      <c r="G267" s="414" t="s">
        <v>2208</v>
      </c>
      <c r="H267" s="414" t="s">
        <v>472</v>
      </c>
      <c r="I267" s="414">
        <v>0.2</v>
      </c>
      <c r="J267" s="414" t="s">
        <v>312</v>
      </c>
      <c r="K267" s="414" t="s">
        <v>73</v>
      </c>
      <c r="L267" s="414" t="s">
        <v>304</v>
      </c>
      <c r="M267" s="414" t="s">
        <v>2176</v>
      </c>
      <c r="N267" s="414" t="s">
        <v>2169</v>
      </c>
      <c r="O267" s="59">
        <v>44197</v>
      </c>
      <c r="P267" s="59">
        <v>44561</v>
      </c>
      <c r="Q267" s="414">
        <f t="shared" si="20"/>
        <v>0</v>
      </c>
      <c r="R267" s="414">
        <v>750</v>
      </c>
      <c r="S267" s="142">
        <f t="shared" si="18"/>
        <v>1</v>
      </c>
      <c r="T267" s="414">
        <v>0</v>
      </c>
      <c r="U267" s="414">
        <v>0</v>
      </c>
      <c r="V267" s="414" t="s">
        <v>305</v>
      </c>
      <c r="W267" s="414">
        <v>0</v>
      </c>
      <c r="X267" s="414">
        <v>0</v>
      </c>
      <c r="Y267" s="414" t="s">
        <v>305</v>
      </c>
      <c r="Z267" s="414">
        <v>0</v>
      </c>
      <c r="AA267" s="61">
        <v>0</v>
      </c>
      <c r="AB267" s="61" t="s">
        <v>305</v>
      </c>
      <c r="AC267" s="414">
        <v>0</v>
      </c>
      <c r="AD267" s="61">
        <v>0</v>
      </c>
      <c r="AE267" s="61" t="s">
        <v>305</v>
      </c>
      <c r="AF267" s="414">
        <v>0</v>
      </c>
      <c r="AG267" s="248">
        <v>0</v>
      </c>
      <c r="AH267" s="149" t="s">
        <v>305</v>
      </c>
      <c r="AI267" s="414">
        <f>750/R267</f>
        <v>1</v>
      </c>
      <c r="AJ267" s="414">
        <v>0</v>
      </c>
      <c r="AK267" s="414" t="s">
        <v>2153</v>
      </c>
      <c r="AL267" s="414">
        <v>0</v>
      </c>
      <c r="AM267" s="414"/>
      <c r="AN267" s="414"/>
      <c r="AO267" s="414">
        <v>0</v>
      </c>
      <c r="AP267" s="414"/>
      <c r="AQ267" s="414"/>
      <c r="AR267" s="414">
        <v>0</v>
      </c>
      <c r="AS267" s="414"/>
      <c r="AT267" s="414"/>
      <c r="AU267" s="414">
        <v>0</v>
      </c>
      <c r="AV267" s="414"/>
      <c r="AW267" s="414"/>
      <c r="AX267" s="414">
        <v>0</v>
      </c>
      <c r="AY267" s="414"/>
      <c r="AZ267" s="414"/>
      <c r="BA267" s="137">
        <v>0</v>
      </c>
      <c r="BB267" s="142"/>
      <c r="BC267" s="142"/>
      <c r="BD267" s="413">
        <f t="shared" si="21"/>
        <v>1</v>
      </c>
      <c r="BE267" s="413">
        <f t="shared" si="22"/>
        <v>0</v>
      </c>
      <c r="BF267" s="60">
        <f t="shared" si="19"/>
        <v>0</v>
      </c>
    </row>
    <row r="268" spans="2:59" s="2" customFormat="1" ht="60.75" hidden="1" thickBot="1">
      <c r="B268" s="44" t="s">
        <v>310</v>
      </c>
      <c r="C268" s="27" t="s">
        <v>2209</v>
      </c>
      <c r="D268" s="664"/>
      <c r="E268" s="661"/>
      <c r="F268" s="661"/>
      <c r="G268" s="414" t="s">
        <v>2210</v>
      </c>
      <c r="H268" s="414" t="s">
        <v>690</v>
      </c>
      <c r="I268" s="414">
        <v>0.2</v>
      </c>
      <c r="J268" s="414" t="s">
        <v>312</v>
      </c>
      <c r="K268" s="414" t="s">
        <v>79</v>
      </c>
      <c r="L268" s="414" t="s">
        <v>2183</v>
      </c>
      <c r="M268" s="414" t="s">
        <v>2176</v>
      </c>
      <c r="N268" s="414" t="s">
        <v>2169</v>
      </c>
      <c r="O268" s="59">
        <v>44197</v>
      </c>
      <c r="P268" s="59">
        <v>44561</v>
      </c>
      <c r="Q268" s="414">
        <f t="shared" si="20"/>
        <v>0</v>
      </c>
      <c r="R268" s="414">
        <v>1.9E-2</v>
      </c>
      <c r="S268" s="142">
        <f t="shared" si="18"/>
        <v>1.9E-2</v>
      </c>
      <c r="T268" s="414">
        <v>0</v>
      </c>
      <c r="U268" s="414">
        <v>0</v>
      </c>
      <c r="V268" s="414" t="s">
        <v>2211</v>
      </c>
      <c r="W268" s="414">
        <v>0</v>
      </c>
      <c r="X268" s="283">
        <v>0</v>
      </c>
      <c r="Y268" s="414" t="s">
        <v>2212</v>
      </c>
      <c r="Z268" s="414">
        <v>0</v>
      </c>
      <c r="AA268" s="287">
        <v>0</v>
      </c>
      <c r="AB268" s="61" t="s">
        <v>2212</v>
      </c>
      <c r="AC268" s="414">
        <v>0</v>
      </c>
      <c r="AD268" s="287">
        <v>0</v>
      </c>
      <c r="AE268" s="61" t="s">
        <v>2212</v>
      </c>
      <c r="AF268" s="414">
        <v>0</v>
      </c>
      <c r="AG268" s="310">
        <v>0</v>
      </c>
      <c r="AH268" s="149" t="s">
        <v>2212</v>
      </c>
      <c r="AI268" s="414">
        <v>0</v>
      </c>
      <c r="AJ268" s="414">
        <v>0</v>
      </c>
      <c r="AK268" s="414" t="s">
        <v>2212</v>
      </c>
      <c r="AL268" s="414">
        <v>0</v>
      </c>
      <c r="AM268" s="414"/>
      <c r="AN268" s="414"/>
      <c r="AO268" s="414">
        <v>0</v>
      </c>
      <c r="AP268" s="414"/>
      <c r="AQ268" s="414"/>
      <c r="AR268" s="414">
        <v>0</v>
      </c>
      <c r="AS268" s="414"/>
      <c r="AT268" s="414"/>
      <c r="AU268" s="414">
        <v>0</v>
      </c>
      <c r="AV268" s="414"/>
      <c r="AW268" s="414"/>
      <c r="AX268" s="414">
        <v>0</v>
      </c>
      <c r="AY268" s="414"/>
      <c r="AZ268" s="414"/>
      <c r="BA268" s="73">
        <v>1.9E-2</v>
      </c>
      <c r="BB268" s="142"/>
      <c r="BC268" s="142"/>
      <c r="BD268" s="413">
        <f t="shared" si="21"/>
        <v>0</v>
      </c>
      <c r="BE268" s="413">
        <f t="shared" si="22"/>
        <v>0</v>
      </c>
      <c r="BF268" s="60" t="str">
        <f t="shared" si="19"/>
        <v>No programación, No avance</v>
      </c>
    </row>
    <row r="269" spans="2:59" s="2" customFormat="1" ht="72.75" hidden="1" thickBot="1">
      <c r="B269" s="44" t="s">
        <v>310</v>
      </c>
      <c r="C269" s="27" t="s">
        <v>2213</v>
      </c>
      <c r="D269" s="664"/>
      <c r="E269" s="661"/>
      <c r="F269" s="661"/>
      <c r="G269" s="414" t="s">
        <v>2214</v>
      </c>
      <c r="H269" s="414" t="s">
        <v>472</v>
      </c>
      <c r="I269" s="414">
        <v>0.6</v>
      </c>
      <c r="J269" s="414" t="s">
        <v>315</v>
      </c>
      <c r="K269" s="414" t="s">
        <v>79</v>
      </c>
      <c r="L269" s="414" t="s">
        <v>2183</v>
      </c>
      <c r="M269" s="414" t="s">
        <v>2176</v>
      </c>
      <c r="N269" s="414" t="s">
        <v>2169</v>
      </c>
      <c r="O269" s="59">
        <v>44197</v>
      </c>
      <c r="P269" s="59">
        <v>44561</v>
      </c>
      <c r="Q269" s="414">
        <f t="shared" si="20"/>
        <v>0.4</v>
      </c>
      <c r="R269" s="414">
        <v>1</v>
      </c>
      <c r="S269" s="142">
        <f t="shared" si="18"/>
        <v>1</v>
      </c>
      <c r="T269" s="414">
        <v>0</v>
      </c>
      <c r="U269" s="414">
        <v>0</v>
      </c>
      <c r="V269" s="414" t="s">
        <v>2215</v>
      </c>
      <c r="W269" s="414">
        <v>0</v>
      </c>
      <c r="X269" s="63">
        <v>0</v>
      </c>
      <c r="Y269" s="414" t="s">
        <v>2153</v>
      </c>
      <c r="Z269" s="414">
        <v>0</v>
      </c>
      <c r="AA269" s="287">
        <v>0</v>
      </c>
      <c r="AB269" s="61" t="s">
        <v>2153</v>
      </c>
      <c r="AC269" s="414">
        <v>0</v>
      </c>
      <c r="AD269" s="62">
        <v>0.4</v>
      </c>
      <c r="AE269" s="61" t="s">
        <v>2216</v>
      </c>
      <c r="AF269" s="414">
        <v>0</v>
      </c>
      <c r="AG269" s="310">
        <v>0</v>
      </c>
      <c r="AH269" s="149" t="s">
        <v>2153</v>
      </c>
      <c r="AI269" s="414">
        <v>0</v>
      </c>
      <c r="AJ269" s="414">
        <v>0</v>
      </c>
      <c r="AK269" s="414" t="s">
        <v>2153</v>
      </c>
      <c r="AL269" s="414">
        <v>0</v>
      </c>
      <c r="AM269" s="414"/>
      <c r="AN269" s="414"/>
      <c r="AO269" s="414">
        <v>0</v>
      </c>
      <c r="AP269" s="414"/>
      <c r="AQ269" s="414"/>
      <c r="AR269" s="414">
        <v>0</v>
      </c>
      <c r="AS269" s="414"/>
      <c r="AT269" s="414"/>
      <c r="AU269" s="414">
        <v>0</v>
      </c>
      <c r="AV269" s="414"/>
      <c r="AW269" s="414"/>
      <c r="AX269" s="414">
        <v>0</v>
      </c>
      <c r="AY269" s="414"/>
      <c r="AZ269" s="414"/>
      <c r="BA269" s="173">
        <v>1</v>
      </c>
      <c r="BB269" s="142"/>
      <c r="BC269" s="142"/>
      <c r="BD269" s="413">
        <f t="shared" si="21"/>
        <v>0</v>
      </c>
      <c r="BE269" s="413">
        <f t="shared" si="22"/>
        <v>0.4</v>
      </c>
      <c r="BF269" s="60">
        <f t="shared" si="19"/>
        <v>0.4</v>
      </c>
    </row>
    <row r="270" spans="2:59" s="2" customFormat="1" ht="36" hidden="1" customHeight="1">
      <c r="B270" s="44" t="s">
        <v>313</v>
      </c>
      <c r="C270" s="27" t="s">
        <v>2217</v>
      </c>
      <c r="D270" s="664"/>
      <c r="E270" s="661" t="s">
        <v>314</v>
      </c>
      <c r="F270" s="661" t="s">
        <v>2218</v>
      </c>
      <c r="G270" s="417" t="s">
        <v>2219</v>
      </c>
      <c r="H270" s="417" t="s">
        <v>531</v>
      </c>
      <c r="I270" s="417">
        <v>0.35</v>
      </c>
      <c r="J270" s="417" t="s">
        <v>315</v>
      </c>
      <c r="K270" s="417" t="s">
        <v>73</v>
      </c>
      <c r="L270" s="417" t="s">
        <v>2220</v>
      </c>
      <c r="M270" s="417" t="s">
        <v>2183</v>
      </c>
      <c r="N270" s="417" t="s">
        <v>2169</v>
      </c>
      <c r="O270" s="40">
        <v>44197</v>
      </c>
      <c r="P270" s="40">
        <v>44561</v>
      </c>
      <c r="Q270" s="417">
        <f t="shared" si="20"/>
        <v>0.25</v>
      </c>
      <c r="R270" s="417">
        <v>2</v>
      </c>
      <c r="S270" s="41">
        <f t="shared" si="18"/>
        <v>2</v>
      </c>
      <c r="T270" s="417">
        <v>0</v>
      </c>
      <c r="U270" s="417">
        <v>0</v>
      </c>
      <c r="V270" s="417" t="s">
        <v>305</v>
      </c>
      <c r="W270" s="417">
        <v>0</v>
      </c>
      <c r="X270" s="417">
        <v>0</v>
      </c>
      <c r="Y270" s="417" t="s">
        <v>305</v>
      </c>
      <c r="Z270" s="417">
        <v>0</v>
      </c>
      <c r="AA270" s="82">
        <v>0</v>
      </c>
      <c r="AB270" s="82" t="s">
        <v>305</v>
      </c>
      <c r="AC270" s="417">
        <v>0</v>
      </c>
      <c r="AD270" s="130">
        <v>0.25</v>
      </c>
      <c r="AE270" s="82" t="s">
        <v>2221</v>
      </c>
      <c r="AF270" s="417">
        <v>0</v>
      </c>
      <c r="AG270" s="247">
        <v>0</v>
      </c>
      <c r="AH270" s="207" t="s">
        <v>305</v>
      </c>
      <c r="AI270" s="417">
        <v>0</v>
      </c>
      <c r="AJ270" s="417">
        <v>0</v>
      </c>
      <c r="AK270" s="417" t="s">
        <v>305</v>
      </c>
      <c r="AL270" s="417">
        <v>0</v>
      </c>
      <c r="AM270" s="417"/>
      <c r="AN270" s="417"/>
      <c r="AO270" s="417">
        <v>0</v>
      </c>
      <c r="AP270" s="417"/>
      <c r="AQ270" s="417"/>
      <c r="AR270" s="417">
        <v>2</v>
      </c>
      <c r="AS270" s="417"/>
      <c r="AT270" s="417"/>
      <c r="AU270" s="417">
        <v>0</v>
      </c>
      <c r="AV270" s="417"/>
      <c r="AW270" s="417"/>
      <c r="AX270" s="417">
        <v>0</v>
      </c>
      <c r="AY270" s="417"/>
      <c r="AZ270" s="417"/>
      <c r="BA270" s="417">
        <v>0</v>
      </c>
      <c r="BB270" s="41"/>
      <c r="BC270" s="41"/>
      <c r="BD270" s="413">
        <f t="shared" si="21"/>
        <v>0</v>
      </c>
      <c r="BE270" s="413">
        <f t="shared" si="22"/>
        <v>0.25</v>
      </c>
      <c r="BF270" s="68">
        <f t="shared" si="19"/>
        <v>0.125</v>
      </c>
    </row>
    <row r="271" spans="2:59" s="2" customFormat="1" ht="48.75" hidden="1" thickBot="1">
      <c r="B271" s="44" t="s">
        <v>313</v>
      </c>
      <c r="C271" s="27" t="s">
        <v>2222</v>
      </c>
      <c r="D271" s="664"/>
      <c r="E271" s="661"/>
      <c r="F271" s="661"/>
      <c r="G271" s="417" t="s">
        <v>2223</v>
      </c>
      <c r="H271" s="417" t="s">
        <v>531</v>
      </c>
      <c r="I271" s="417">
        <v>0.35</v>
      </c>
      <c r="J271" s="417" t="s">
        <v>312</v>
      </c>
      <c r="K271" s="417" t="s">
        <v>73</v>
      </c>
      <c r="L271" s="417" t="s">
        <v>2220</v>
      </c>
      <c r="M271" s="417" t="s">
        <v>2183</v>
      </c>
      <c r="N271" s="417" t="s">
        <v>2169</v>
      </c>
      <c r="O271" s="40">
        <v>44197</v>
      </c>
      <c r="P271" s="40">
        <v>44561</v>
      </c>
      <c r="Q271" s="417">
        <f t="shared" si="20"/>
        <v>0</v>
      </c>
      <c r="R271" s="417">
        <v>2</v>
      </c>
      <c r="S271" s="41">
        <f t="shared" si="18"/>
        <v>2</v>
      </c>
      <c r="T271" s="417">
        <v>0</v>
      </c>
      <c r="U271" s="417">
        <v>0</v>
      </c>
      <c r="V271" s="417" t="s">
        <v>305</v>
      </c>
      <c r="W271" s="417">
        <v>0</v>
      </c>
      <c r="X271" s="417">
        <v>0</v>
      </c>
      <c r="Y271" s="417" t="s">
        <v>305</v>
      </c>
      <c r="Z271" s="417">
        <v>0</v>
      </c>
      <c r="AA271" s="82">
        <v>0</v>
      </c>
      <c r="AB271" s="82" t="s">
        <v>305</v>
      </c>
      <c r="AC271" s="417">
        <v>0</v>
      </c>
      <c r="AD271" s="82">
        <v>0</v>
      </c>
      <c r="AE271" s="82" t="s">
        <v>305</v>
      </c>
      <c r="AF271" s="417">
        <v>0</v>
      </c>
      <c r="AG271" s="247">
        <v>0</v>
      </c>
      <c r="AH271" s="207" t="s">
        <v>305</v>
      </c>
      <c r="AI271" s="417">
        <v>0</v>
      </c>
      <c r="AJ271" s="417">
        <v>0</v>
      </c>
      <c r="AK271" s="417" t="s">
        <v>305</v>
      </c>
      <c r="AL271" s="417">
        <v>0</v>
      </c>
      <c r="AM271" s="417"/>
      <c r="AN271" s="417"/>
      <c r="AO271" s="417">
        <v>0</v>
      </c>
      <c r="AP271" s="417"/>
      <c r="AQ271" s="417"/>
      <c r="AR271" s="417">
        <v>2</v>
      </c>
      <c r="AS271" s="417"/>
      <c r="AT271" s="417"/>
      <c r="AU271" s="417">
        <v>0</v>
      </c>
      <c r="AV271" s="417"/>
      <c r="AW271" s="417"/>
      <c r="AX271" s="417">
        <v>0</v>
      </c>
      <c r="AY271" s="417"/>
      <c r="AZ271" s="417"/>
      <c r="BA271" s="417">
        <v>0</v>
      </c>
      <c r="BB271" s="41"/>
      <c r="BC271" s="41"/>
      <c r="BD271" s="413">
        <f t="shared" si="21"/>
        <v>0</v>
      </c>
      <c r="BE271" s="413">
        <f t="shared" si="22"/>
        <v>0</v>
      </c>
      <c r="BF271" s="68" t="str">
        <f t="shared" si="19"/>
        <v>No programación, No avance</v>
      </c>
    </row>
    <row r="272" spans="2:59" s="2" customFormat="1" ht="72.75" hidden="1" thickBot="1">
      <c r="B272" s="44" t="s">
        <v>313</v>
      </c>
      <c r="C272" s="27" t="s">
        <v>2224</v>
      </c>
      <c r="D272" s="664"/>
      <c r="E272" s="661"/>
      <c r="F272" s="661"/>
      <c r="G272" s="417" t="s">
        <v>2225</v>
      </c>
      <c r="H272" s="417" t="s">
        <v>531</v>
      </c>
      <c r="I272" s="417">
        <v>0.15</v>
      </c>
      <c r="J272" s="417" t="s">
        <v>315</v>
      </c>
      <c r="K272" s="417" t="s">
        <v>73</v>
      </c>
      <c r="L272" s="417" t="s">
        <v>2220</v>
      </c>
      <c r="M272" s="417" t="s">
        <v>2183</v>
      </c>
      <c r="N272" s="417" t="s">
        <v>2169</v>
      </c>
      <c r="O272" s="40">
        <v>44197</v>
      </c>
      <c r="P272" s="40">
        <v>44561</v>
      </c>
      <c r="Q272" s="417">
        <f t="shared" si="20"/>
        <v>0.9</v>
      </c>
      <c r="R272" s="417">
        <v>1</v>
      </c>
      <c r="S272" s="41">
        <f t="shared" si="18"/>
        <v>1</v>
      </c>
      <c r="T272" s="417">
        <v>0</v>
      </c>
      <c r="U272" s="417">
        <v>0</v>
      </c>
      <c r="V272" s="417" t="s">
        <v>305</v>
      </c>
      <c r="W272" s="417">
        <v>0</v>
      </c>
      <c r="X272" s="417">
        <v>0</v>
      </c>
      <c r="Y272" s="417" t="s">
        <v>305</v>
      </c>
      <c r="Z272" s="417">
        <v>0</v>
      </c>
      <c r="AA272" s="82">
        <v>0</v>
      </c>
      <c r="AB272" s="82" t="s">
        <v>305</v>
      </c>
      <c r="AC272" s="417">
        <v>0</v>
      </c>
      <c r="AD272" s="130">
        <v>0.9</v>
      </c>
      <c r="AE272" s="82" t="s">
        <v>2226</v>
      </c>
      <c r="AF272" s="417">
        <v>0</v>
      </c>
      <c r="AG272" s="247">
        <v>0</v>
      </c>
      <c r="AH272" s="207" t="s">
        <v>305</v>
      </c>
      <c r="AI272" s="417">
        <v>0</v>
      </c>
      <c r="AJ272" s="417">
        <v>0</v>
      </c>
      <c r="AK272" s="417" t="s">
        <v>305</v>
      </c>
      <c r="AL272" s="417">
        <v>0</v>
      </c>
      <c r="AM272" s="417"/>
      <c r="AN272" s="417"/>
      <c r="AO272" s="417">
        <v>0</v>
      </c>
      <c r="AP272" s="417"/>
      <c r="AQ272" s="417"/>
      <c r="AR272" s="417">
        <v>1</v>
      </c>
      <c r="AS272" s="417"/>
      <c r="AT272" s="417"/>
      <c r="AU272" s="417">
        <v>0</v>
      </c>
      <c r="AV272" s="417"/>
      <c r="AW272" s="417"/>
      <c r="AX272" s="417">
        <v>0</v>
      </c>
      <c r="AY272" s="417"/>
      <c r="AZ272" s="417"/>
      <c r="BA272" s="417">
        <v>0</v>
      </c>
      <c r="BB272" s="41"/>
      <c r="BC272" s="41"/>
      <c r="BD272" s="413">
        <f t="shared" si="21"/>
        <v>0</v>
      </c>
      <c r="BE272" s="413">
        <f t="shared" si="22"/>
        <v>0.9</v>
      </c>
      <c r="BF272" s="68">
        <f t="shared" si="19"/>
        <v>0.9</v>
      </c>
    </row>
    <row r="273" spans="2:58" s="2" customFormat="1" ht="60.75" hidden="1" thickBot="1">
      <c r="B273" s="44" t="s">
        <v>313</v>
      </c>
      <c r="C273" s="27" t="s">
        <v>2227</v>
      </c>
      <c r="D273" s="664"/>
      <c r="E273" s="661"/>
      <c r="F273" s="661"/>
      <c r="G273" s="417" t="s">
        <v>2228</v>
      </c>
      <c r="H273" s="417" t="s">
        <v>531</v>
      </c>
      <c r="I273" s="417">
        <v>0.15</v>
      </c>
      <c r="J273" s="417" t="s">
        <v>315</v>
      </c>
      <c r="K273" s="417" t="s">
        <v>73</v>
      </c>
      <c r="L273" s="417" t="s">
        <v>2220</v>
      </c>
      <c r="M273" s="417" t="s">
        <v>2183</v>
      </c>
      <c r="N273" s="417" t="s">
        <v>2169</v>
      </c>
      <c r="O273" s="40">
        <v>44197</v>
      </c>
      <c r="P273" s="40">
        <v>44561</v>
      </c>
      <c r="Q273" s="417">
        <f t="shared" si="20"/>
        <v>0</v>
      </c>
      <c r="R273" s="417">
        <v>1</v>
      </c>
      <c r="S273" s="41">
        <f t="shared" si="18"/>
        <v>1</v>
      </c>
      <c r="T273" s="417">
        <v>0</v>
      </c>
      <c r="U273" s="417">
        <v>0</v>
      </c>
      <c r="V273" s="417" t="s">
        <v>305</v>
      </c>
      <c r="W273" s="417">
        <v>0</v>
      </c>
      <c r="X273" s="417">
        <v>0</v>
      </c>
      <c r="Y273" s="417" t="s">
        <v>305</v>
      </c>
      <c r="Z273" s="417">
        <v>0</v>
      </c>
      <c r="AA273" s="82">
        <v>0</v>
      </c>
      <c r="AB273" s="82" t="s">
        <v>305</v>
      </c>
      <c r="AC273" s="417">
        <v>0</v>
      </c>
      <c r="AD273" s="82">
        <v>0</v>
      </c>
      <c r="AE273" s="82" t="s">
        <v>2229</v>
      </c>
      <c r="AF273" s="417">
        <v>0</v>
      </c>
      <c r="AG273" s="247">
        <v>0</v>
      </c>
      <c r="AH273" s="207" t="s">
        <v>305</v>
      </c>
      <c r="AI273" s="417">
        <v>0</v>
      </c>
      <c r="AJ273" s="417">
        <v>0</v>
      </c>
      <c r="AK273" s="417" t="s">
        <v>305</v>
      </c>
      <c r="AL273" s="417">
        <v>0</v>
      </c>
      <c r="AM273" s="417"/>
      <c r="AN273" s="417"/>
      <c r="AO273" s="417">
        <v>0</v>
      </c>
      <c r="AP273" s="417"/>
      <c r="AQ273" s="417"/>
      <c r="AR273" s="417">
        <v>1</v>
      </c>
      <c r="AS273" s="417"/>
      <c r="AT273" s="417"/>
      <c r="AU273" s="417">
        <v>0</v>
      </c>
      <c r="AV273" s="417"/>
      <c r="AW273" s="417"/>
      <c r="AX273" s="417">
        <v>0</v>
      </c>
      <c r="AY273" s="417"/>
      <c r="AZ273" s="417"/>
      <c r="BA273" s="417">
        <v>0</v>
      </c>
      <c r="BB273" s="41"/>
      <c r="BC273" s="41"/>
      <c r="BD273" s="413">
        <f t="shared" si="21"/>
        <v>0</v>
      </c>
      <c r="BE273" s="413">
        <f t="shared" si="22"/>
        <v>0</v>
      </c>
      <c r="BF273" s="68" t="str">
        <f t="shared" si="19"/>
        <v>No programación, No avance</v>
      </c>
    </row>
    <row r="274" spans="2:58" s="2" customFormat="1" ht="36" hidden="1" customHeight="1">
      <c r="B274" s="44" t="s">
        <v>316</v>
      </c>
      <c r="C274" s="27" t="s">
        <v>2230</v>
      </c>
      <c r="D274" s="664"/>
      <c r="E274" s="661" t="s">
        <v>317</v>
      </c>
      <c r="F274" s="661" t="s">
        <v>2231</v>
      </c>
      <c r="G274" s="150" t="s">
        <v>2232</v>
      </c>
      <c r="H274" s="414" t="s">
        <v>472</v>
      </c>
      <c r="I274" s="414">
        <v>0.7</v>
      </c>
      <c r="J274" s="414" t="s">
        <v>320</v>
      </c>
      <c r="K274" s="414" t="s">
        <v>73</v>
      </c>
      <c r="L274" s="414" t="s">
        <v>127</v>
      </c>
      <c r="M274" s="414" t="s">
        <v>2233</v>
      </c>
      <c r="N274" s="414" t="s">
        <v>2234</v>
      </c>
      <c r="O274" s="59">
        <v>44197</v>
      </c>
      <c r="P274" s="59">
        <v>44561</v>
      </c>
      <c r="Q274" s="414">
        <f t="shared" si="20"/>
        <v>0</v>
      </c>
      <c r="R274" s="414">
        <v>3</v>
      </c>
      <c r="S274" s="142">
        <f t="shared" ref="S274:S351" si="23">+T274+W274+Z274+AC274+AF274+AI274+AL274+AO274+AR274+AU274+AX274+BA274</f>
        <v>3</v>
      </c>
      <c r="T274" s="414">
        <v>0</v>
      </c>
      <c r="U274" s="61">
        <v>0</v>
      </c>
      <c r="V274" s="61" t="s">
        <v>2235</v>
      </c>
      <c r="W274" s="414">
        <v>0</v>
      </c>
      <c r="X274" s="61">
        <v>0</v>
      </c>
      <c r="Y274" s="61" t="s">
        <v>318</v>
      </c>
      <c r="Z274" s="414">
        <v>0</v>
      </c>
      <c r="AA274" s="76">
        <v>0</v>
      </c>
      <c r="AB274" s="76" t="s">
        <v>2236</v>
      </c>
      <c r="AC274" s="414">
        <v>0</v>
      </c>
      <c r="AD274" s="76">
        <v>0</v>
      </c>
      <c r="AE274" s="76" t="s">
        <v>2237</v>
      </c>
      <c r="AF274" s="414">
        <v>0</v>
      </c>
      <c r="AG274" s="248">
        <v>0</v>
      </c>
      <c r="AH274" s="208" t="s">
        <v>2235</v>
      </c>
      <c r="AI274" s="414">
        <v>0</v>
      </c>
      <c r="AJ274" s="414">
        <v>0</v>
      </c>
      <c r="AK274" s="414" t="s">
        <v>2235</v>
      </c>
      <c r="AL274" s="414">
        <v>0</v>
      </c>
      <c r="AM274" s="414"/>
      <c r="AN274" s="414"/>
      <c r="AO274" s="414">
        <v>0</v>
      </c>
      <c r="AP274" s="414"/>
      <c r="AQ274" s="414"/>
      <c r="AR274" s="414">
        <v>3</v>
      </c>
      <c r="AS274" s="414"/>
      <c r="AT274" s="414"/>
      <c r="AU274" s="414">
        <v>0</v>
      </c>
      <c r="AV274" s="414"/>
      <c r="AW274" s="414"/>
      <c r="AX274" s="414">
        <v>0</v>
      </c>
      <c r="AY274" s="414"/>
      <c r="AZ274" s="414"/>
      <c r="BA274" s="137">
        <v>0</v>
      </c>
      <c r="BB274" s="142"/>
      <c r="BC274" s="142"/>
      <c r="BD274" s="413">
        <f t="shared" si="21"/>
        <v>0</v>
      </c>
      <c r="BE274" s="413">
        <f t="shared" si="22"/>
        <v>0</v>
      </c>
      <c r="BF274" s="60" t="str">
        <f t="shared" si="19"/>
        <v>No programación, No avance</v>
      </c>
    </row>
    <row r="275" spans="2:58" s="2" customFormat="1" ht="96.75" hidden="1" thickBot="1">
      <c r="B275" s="44" t="s">
        <v>316</v>
      </c>
      <c r="C275" s="27" t="s">
        <v>2238</v>
      </c>
      <c r="D275" s="664"/>
      <c r="E275" s="661"/>
      <c r="F275" s="661"/>
      <c r="G275" s="414" t="s">
        <v>2239</v>
      </c>
      <c r="H275" s="414" t="s">
        <v>472</v>
      </c>
      <c r="I275" s="414">
        <v>0.1</v>
      </c>
      <c r="J275" s="414" t="s">
        <v>320</v>
      </c>
      <c r="K275" s="414" t="s">
        <v>73</v>
      </c>
      <c r="L275" s="414" t="s">
        <v>127</v>
      </c>
      <c r="M275" s="414" t="s">
        <v>2233</v>
      </c>
      <c r="N275" s="414" t="s">
        <v>2234</v>
      </c>
      <c r="O275" s="59">
        <v>44197</v>
      </c>
      <c r="P275" s="59">
        <v>44561</v>
      </c>
      <c r="Q275" s="414">
        <f t="shared" si="20"/>
        <v>1</v>
      </c>
      <c r="R275" s="414">
        <v>1</v>
      </c>
      <c r="S275" s="142">
        <f t="shared" si="23"/>
        <v>1</v>
      </c>
      <c r="T275" s="414">
        <v>0</v>
      </c>
      <c r="U275" s="61">
        <v>0</v>
      </c>
      <c r="V275" s="61" t="s">
        <v>2235</v>
      </c>
      <c r="W275" s="414">
        <v>0</v>
      </c>
      <c r="X275" s="61">
        <v>0</v>
      </c>
      <c r="Y275" s="61" t="s">
        <v>2235</v>
      </c>
      <c r="Z275" s="414">
        <v>0</v>
      </c>
      <c r="AA275" s="76">
        <v>1</v>
      </c>
      <c r="AB275" s="76" t="s">
        <v>2240</v>
      </c>
      <c r="AC275" s="414">
        <v>0</v>
      </c>
      <c r="AD275" s="76">
        <v>0</v>
      </c>
      <c r="AE275" s="76" t="s">
        <v>2241</v>
      </c>
      <c r="AF275" s="414">
        <v>0</v>
      </c>
      <c r="AG275" s="248">
        <v>0</v>
      </c>
      <c r="AH275" s="149" t="s">
        <v>2235</v>
      </c>
      <c r="AI275" s="414">
        <v>0</v>
      </c>
      <c r="AJ275" s="414">
        <v>0</v>
      </c>
      <c r="AK275" s="414" t="s">
        <v>2235</v>
      </c>
      <c r="AL275" s="414">
        <v>0</v>
      </c>
      <c r="AM275" s="414"/>
      <c r="AN275" s="414"/>
      <c r="AO275" s="414">
        <v>0</v>
      </c>
      <c r="AP275" s="414"/>
      <c r="AQ275" s="414"/>
      <c r="AR275" s="414">
        <v>1</v>
      </c>
      <c r="AS275" s="414"/>
      <c r="AT275" s="414"/>
      <c r="AU275" s="414">
        <v>0</v>
      </c>
      <c r="AV275" s="414"/>
      <c r="AW275" s="414"/>
      <c r="AX275" s="414">
        <v>0</v>
      </c>
      <c r="AY275" s="414"/>
      <c r="AZ275" s="414"/>
      <c r="BA275" s="137">
        <v>0</v>
      </c>
      <c r="BB275" s="142"/>
      <c r="BC275" s="142"/>
      <c r="BD275" s="413">
        <f t="shared" si="21"/>
        <v>0</v>
      </c>
      <c r="BE275" s="413">
        <f t="shared" si="22"/>
        <v>1</v>
      </c>
      <c r="BF275" s="60">
        <f t="shared" ref="BF275:BF352" si="24">+IF(BD275=0,+IF(BE275=0,"No programación, No avance",+IF(BE275&gt;0,+IF(BD275=0,BE275/R275))),BE275/BD275)</f>
        <v>1</v>
      </c>
    </row>
    <row r="276" spans="2:58" s="2" customFormat="1" ht="96.75" hidden="1" thickBot="1">
      <c r="B276" s="44" t="s">
        <v>316</v>
      </c>
      <c r="C276" s="27" t="s">
        <v>2242</v>
      </c>
      <c r="D276" s="664"/>
      <c r="E276" s="661"/>
      <c r="F276" s="661"/>
      <c r="G276" s="414" t="s">
        <v>2243</v>
      </c>
      <c r="H276" s="414" t="s">
        <v>472</v>
      </c>
      <c r="I276" s="414">
        <v>0.2</v>
      </c>
      <c r="J276" s="414" t="s">
        <v>320</v>
      </c>
      <c r="K276" s="414" t="s">
        <v>73</v>
      </c>
      <c r="L276" s="414" t="s">
        <v>2244</v>
      </c>
      <c r="M276" s="414" t="s">
        <v>2233</v>
      </c>
      <c r="N276" s="414" t="s">
        <v>2234</v>
      </c>
      <c r="O276" s="59">
        <v>44197</v>
      </c>
      <c r="P276" s="59">
        <v>44561</v>
      </c>
      <c r="Q276" s="414">
        <f t="shared" ref="Q276:Q352" si="25">+U276+X276+AA276+AD276+AG276+AJ276+AM276+AP276+AS276+AV276+AY276+BB276</f>
        <v>0</v>
      </c>
      <c r="R276" s="414">
        <v>3</v>
      </c>
      <c r="S276" s="142">
        <f t="shared" si="23"/>
        <v>2.3333333333333335</v>
      </c>
      <c r="T276" s="414">
        <v>0</v>
      </c>
      <c r="U276" s="61">
        <v>0</v>
      </c>
      <c r="V276" s="61" t="s">
        <v>2235</v>
      </c>
      <c r="W276" s="414">
        <v>0</v>
      </c>
      <c r="X276" s="61">
        <v>0</v>
      </c>
      <c r="Y276" s="61" t="s">
        <v>2235</v>
      </c>
      <c r="Z276" s="414">
        <v>0</v>
      </c>
      <c r="AA276" s="76">
        <v>0</v>
      </c>
      <c r="AB276" s="76" t="s">
        <v>2245</v>
      </c>
      <c r="AC276" s="414">
        <v>0</v>
      </c>
      <c r="AD276" s="76">
        <v>0</v>
      </c>
      <c r="AE276" s="76" t="s">
        <v>2246</v>
      </c>
      <c r="AF276" s="414">
        <f>1/R276</f>
        <v>0.33333333333333331</v>
      </c>
      <c r="AG276" s="248">
        <v>0</v>
      </c>
      <c r="AH276" s="149" t="s">
        <v>2247</v>
      </c>
      <c r="AI276" s="414">
        <v>0</v>
      </c>
      <c r="AJ276" s="414">
        <v>0</v>
      </c>
      <c r="AK276" s="414" t="s">
        <v>2248</v>
      </c>
      <c r="AL276" s="414">
        <v>2</v>
      </c>
      <c r="AM276" s="414"/>
      <c r="AN276" s="414"/>
      <c r="AO276" s="414">
        <v>0</v>
      </c>
      <c r="AP276" s="414"/>
      <c r="AQ276" s="414"/>
      <c r="AR276" s="414">
        <v>0</v>
      </c>
      <c r="AS276" s="414"/>
      <c r="AT276" s="414"/>
      <c r="AU276" s="414">
        <v>0</v>
      </c>
      <c r="AV276" s="414"/>
      <c r="AW276" s="414"/>
      <c r="AX276" s="414">
        <v>0</v>
      </c>
      <c r="AY276" s="414"/>
      <c r="AZ276" s="414"/>
      <c r="BA276" s="137">
        <v>0</v>
      </c>
      <c r="BB276" s="142"/>
      <c r="BC276" s="142"/>
      <c r="BD276" s="413">
        <f t="shared" si="21"/>
        <v>0.33333333333333331</v>
      </c>
      <c r="BE276" s="413">
        <f t="shared" si="22"/>
        <v>0</v>
      </c>
      <c r="BF276" s="60">
        <f t="shared" si="24"/>
        <v>0</v>
      </c>
    </row>
    <row r="277" spans="2:58" s="2" customFormat="1" ht="36" hidden="1" customHeight="1">
      <c r="B277" s="44" t="s">
        <v>321</v>
      </c>
      <c r="C277" s="27" t="s">
        <v>2249</v>
      </c>
      <c r="D277" s="664"/>
      <c r="E277" s="661" t="s">
        <v>322</v>
      </c>
      <c r="F277" s="661" t="s">
        <v>2250</v>
      </c>
      <c r="G277" s="414" t="s">
        <v>2251</v>
      </c>
      <c r="H277" s="414" t="s">
        <v>472</v>
      </c>
      <c r="I277" s="414">
        <v>0.45</v>
      </c>
      <c r="J277" s="414" t="s">
        <v>320</v>
      </c>
      <c r="K277" s="414" t="s">
        <v>79</v>
      </c>
      <c r="L277" s="414" t="s">
        <v>2252</v>
      </c>
      <c r="M277" s="414" t="s">
        <v>2253</v>
      </c>
      <c r="N277" s="414" t="s">
        <v>2254</v>
      </c>
      <c r="O277" s="59">
        <v>44197</v>
      </c>
      <c r="P277" s="59">
        <v>44561</v>
      </c>
      <c r="Q277" s="414">
        <f t="shared" si="25"/>
        <v>0.49830000000000002</v>
      </c>
      <c r="R277" s="414">
        <v>1</v>
      </c>
      <c r="S277" s="142">
        <f t="shared" si="23"/>
        <v>1.0017999999999998</v>
      </c>
      <c r="T277" s="73">
        <v>8.3299999999999999E-2</v>
      </c>
      <c r="U277" s="84">
        <v>8.3000000000000004E-2</v>
      </c>
      <c r="V277" s="61" t="s">
        <v>2255</v>
      </c>
      <c r="W277" s="73">
        <v>8.3299999999999999E-2</v>
      </c>
      <c r="X277" s="84">
        <v>8.3000000000000004E-2</v>
      </c>
      <c r="Y277" s="61" t="s">
        <v>2255</v>
      </c>
      <c r="Z277" s="73">
        <v>8.3299999999999999E-2</v>
      </c>
      <c r="AA277" s="84">
        <v>8.3000000000000004E-2</v>
      </c>
      <c r="AB277" s="76" t="s">
        <v>2256</v>
      </c>
      <c r="AC277" s="73">
        <v>8.3299999999999999E-2</v>
      </c>
      <c r="AD277" s="355">
        <v>8.3299999999999999E-2</v>
      </c>
      <c r="AE277" s="76" t="s">
        <v>2256</v>
      </c>
      <c r="AF277" s="73">
        <v>8.3299999999999999E-2</v>
      </c>
      <c r="AG277" s="426">
        <v>8.3000000000000004E-2</v>
      </c>
      <c r="AH277" s="209" t="s">
        <v>2256</v>
      </c>
      <c r="AI277" s="73">
        <v>8.3299999999999999E-2</v>
      </c>
      <c r="AJ277" s="414" t="s">
        <v>2257</v>
      </c>
      <c r="AK277" s="414" t="s">
        <v>2256</v>
      </c>
      <c r="AL277" s="414">
        <v>8.3000000000000004E-2</v>
      </c>
      <c r="AM277" s="414"/>
      <c r="AN277" s="414"/>
      <c r="AO277" s="414">
        <v>8.3000000000000004E-2</v>
      </c>
      <c r="AP277" s="414"/>
      <c r="AQ277" s="414"/>
      <c r="AR277" s="414">
        <v>8.3000000000000004E-2</v>
      </c>
      <c r="AS277" s="414"/>
      <c r="AT277" s="414"/>
      <c r="AU277" s="414">
        <v>8.3000000000000004E-2</v>
      </c>
      <c r="AV277" s="414"/>
      <c r="AW277" s="414"/>
      <c r="AX277" s="414">
        <v>8.3000000000000004E-2</v>
      </c>
      <c r="AY277" s="414"/>
      <c r="AZ277" s="414"/>
      <c r="BA277" s="210">
        <v>8.6999999999999994E-2</v>
      </c>
      <c r="BB277" s="142"/>
      <c r="BC277" s="142"/>
      <c r="BD277" s="413">
        <f t="shared" si="21"/>
        <v>0.49979999999999997</v>
      </c>
      <c r="BE277" s="413">
        <f t="shared" si="22"/>
        <v>0.49830000000000002</v>
      </c>
      <c r="BF277" s="60">
        <f t="shared" si="24"/>
        <v>0.99699879951980808</v>
      </c>
    </row>
    <row r="278" spans="2:58" s="2" customFormat="1" ht="108.75" hidden="1" thickBot="1">
      <c r="B278" s="44" t="s">
        <v>321</v>
      </c>
      <c r="C278" s="27" t="s">
        <v>2258</v>
      </c>
      <c r="D278" s="664"/>
      <c r="E278" s="661"/>
      <c r="F278" s="661"/>
      <c r="G278" s="414" t="s">
        <v>2259</v>
      </c>
      <c r="H278" s="414" t="s">
        <v>472</v>
      </c>
      <c r="I278" s="414">
        <v>0.35</v>
      </c>
      <c r="J278" s="414" t="s">
        <v>320</v>
      </c>
      <c r="K278" s="414" t="s">
        <v>73</v>
      </c>
      <c r="L278" s="414" t="s">
        <v>2260</v>
      </c>
      <c r="M278" s="414" t="s">
        <v>2253</v>
      </c>
      <c r="N278" s="414" t="s">
        <v>2261</v>
      </c>
      <c r="O278" s="59">
        <v>44197</v>
      </c>
      <c r="P278" s="59">
        <v>44561</v>
      </c>
      <c r="Q278" s="414">
        <f t="shared" si="25"/>
        <v>0.75</v>
      </c>
      <c r="R278" s="414">
        <v>4</v>
      </c>
      <c r="S278" s="142">
        <f t="shared" si="23"/>
        <v>2.5</v>
      </c>
      <c r="T278" s="414">
        <v>0</v>
      </c>
      <c r="U278" s="61">
        <f>1/R278</f>
        <v>0.25</v>
      </c>
      <c r="V278" s="61" t="s">
        <v>2262</v>
      </c>
      <c r="W278" s="414">
        <f>1/4</f>
        <v>0.25</v>
      </c>
      <c r="X278" s="61">
        <v>0</v>
      </c>
      <c r="Y278" s="61" t="s">
        <v>2235</v>
      </c>
      <c r="Z278" s="414">
        <v>0</v>
      </c>
      <c r="AA278" s="76">
        <f>1/R278</f>
        <v>0.25</v>
      </c>
      <c r="AB278" s="61" t="s">
        <v>2263</v>
      </c>
      <c r="AC278" s="414">
        <v>0</v>
      </c>
      <c r="AD278" s="76">
        <v>0</v>
      </c>
      <c r="AE278" s="76" t="s">
        <v>2235</v>
      </c>
      <c r="AF278" s="414">
        <f>1/4</f>
        <v>0.25</v>
      </c>
      <c r="AG278" s="248">
        <v>0</v>
      </c>
      <c r="AH278" s="149" t="s">
        <v>2264</v>
      </c>
      <c r="AI278" s="414">
        <v>0</v>
      </c>
      <c r="AJ278" s="414">
        <f>1/R278</f>
        <v>0.25</v>
      </c>
      <c r="AK278" s="414" t="s">
        <v>2265</v>
      </c>
      <c r="AL278" s="414">
        <v>0</v>
      </c>
      <c r="AM278" s="414"/>
      <c r="AN278" s="414"/>
      <c r="AO278" s="414">
        <v>1</v>
      </c>
      <c r="AP278" s="414"/>
      <c r="AQ278" s="414"/>
      <c r="AR278" s="414">
        <v>0</v>
      </c>
      <c r="AS278" s="414"/>
      <c r="AT278" s="414"/>
      <c r="AU278" s="414">
        <v>0</v>
      </c>
      <c r="AV278" s="414"/>
      <c r="AW278" s="414"/>
      <c r="AX278" s="414">
        <v>1</v>
      </c>
      <c r="AY278" s="414"/>
      <c r="AZ278" s="414"/>
      <c r="BA278" s="137">
        <v>0</v>
      </c>
      <c r="BB278" s="142"/>
      <c r="BC278" s="142"/>
      <c r="BD278" s="413">
        <f t="shared" si="21"/>
        <v>0.5</v>
      </c>
      <c r="BE278" s="413">
        <f t="shared" si="22"/>
        <v>0.75</v>
      </c>
      <c r="BF278" s="60">
        <f t="shared" si="24"/>
        <v>1.5</v>
      </c>
    </row>
    <row r="279" spans="2:58" s="2" customFormat="1" ht="108.75" hidden="1" thickBot="1">
      <c r="B279" s="44" t="s">
        <v>321</v>
      </c>
      <c r="C279" s="27" t="s">
        <v>2266</v>
      </c>
      <c r="D279" s="664"/>
      <c r="E279" s="661"/>
      <c r="F279" s="661"/>
      <c r="G279" s="414" t="s">
        <v>2267</v>
      </c>
      <c r="H279" s="414" t="s">
        <v>472</v>
      </c>
      <c r="I279" s="414">
        <v>0.2</v>
      </c>
      <c r="J279" s="414" t="s">
        <v>320</v>
      </c>
      <c r="K279" s="414" t="s">
        <v>73</v>
      </c>
      <c r="L279" s="414" t="s">
        <v>232</v>
      </c>
      <c r="M279" s="414" t="s">
        <v>2233</v>
      </c>
      <c r="N279" s="414" t="s">
        <v>2261</v>
      </c>
      <c r="O279" s="59">
        <v>44197</v>
      </c>
      <c r="P279" s="59">
        <v>44561</v>
      </c>
      <c r="Q279" s="414">
        <f t="shared" si="25"/>
        <v>0.5</v>
      </c>
      <c r="R279" s="414">
        <v>2</v>
      </c>
      <c r="S279" s="142">
        <f t="shared" si="23"/>
        <v>1.5</v>
      </c>
      <c r="T279" s="414">
        <v>0</v>
      </c>
      <c r="U279" s="61">
        <v>0</v>
      </c>
      <c r="V279" s="61" t="s">
        <v>2235</v>
      </c>
      <c r="W279" s="414">
        <v>0</v>
      </c>
      <c r="X279" s="61">
        <f>1/R279</f>
        <v>0.5</v>
      </c>
      <c r="Y279" s="61" t="s">
        <v>2268</v>
      </c>
      <c r="Z279" s="414">
        <f>1/R279</f>
        <v>0.5</v>
      </c>
      <c r="AA279" s="76">
        <v>0</v>
      </c>
      <c r="AB279" s="76" t="s">
        <v>2269</v>
      </c>
      <c r="AC279" s="414">
        <v>0</v>
      </c>
      <c r="AD279" s="76">
        <v>0</v>
      </c>
      <c r="AE279" s="76" t="s">
        <v>2270</v>
      </c>
      <c r="AF279" s="414">
        <v>0</v>
      </c>
      <c r="AG279" s="248">
        <v>0</v>
      </c>
      <c r="AH279" s="149" t="s">
        <v>2271</v>
      </c>
      <c r="AI279" s="414">
        <v>0</v>
      </c>
      <c r="AJ279" s="414">
        <v>0</v>
      </c>
      <c r="AK279" s="414" t="s">
        <v>2271</v>
      </c>
      <c r="AL279" s="414">
        <v>0</v>
      </c>
      <c r="AM279" s="414"/>
      <c r="AN279" s="414"/>
      <c r="AO279" s="414">
        <v>0</v>
      </c>
      <c r="AP279" s="414"/>
      <c r="AQ279" s="414"/>
      <c r="AR279" s="414">
        <v>1</v>
      </c>
      <c r="AS279" s="414"/>
      <c r="AT279" s="414"/>
      <c r="AU279" s="414">
        <v>0</v>
      </c>
      <c r="AV279" s="414"/>
      <c r="AW279" s="414"/>
      <c r="AX279" s="414">
        <v>0</v>
      </c>
      <c r="AY279" s="414"/>
      <c r="AZ279" s="414"/>
      <c r="BA279" s="137">
        <v>0</v>
      </c>
      <c r="BB279" s="142"/>
      <c r="BC279" s="142"/>
      <c r="BD279" s="413">
        <f t="shared" si="21"/>
        <v>0.5</v>
      </c>
      <c r="BE279" s="413">
        <f t="shared" si="22"/>
        <v>0.5</v>
      </c>
      <c r="BF279" s="60">
        <f t="shared" si="24"/>
        <v>1</v>
      </c>
    </row>
    <row r="280" spans="2:58" s="2" customFormat="1" ht="36" hidden="1" customHeight="1">
      <c r="B280" s="44" t="s">
        <v>323</v>
      </c>
      <c r="C280" s="27" t="s">
        <v>2272</v>
      </c>
      <c r="D280" s="664"/>
      <c r="E280" s="661" t="s">
        <v>324</v>
      </c>
      <c r="F280" s="661" t="s">
        <v>2273</v>
      </c>
      <c r="G280" s="414" t="s">
        <v>2274</v>
      </c>
      <c r="H280" s="414" t="s">
        <v>472</v>
      </c>
      <c r="I280" s="414">
        <v>0.3</v>
      </c>
      <c r="J280" s="414" t="s">
        <v>320</v>
      </c>
      <c r="K280" s="414" t="s">
        <v>73</v>
      </c>
      <c r="L280" s="414" t="s">
        <v>2275</v>
      </c>
      <c r="M280" s="414" t="s">
        <v>2233</v>
      </c>
      <c r="N280" s="414" t="s">
        <v>2261</v>
      </c>
      <c r="O280" s="59">
        <v>44197</v>
      </c>
      <c r="P280" s="59">
        <v>44561</v>
      </c>
      <c r="Q280" s="414">
        <f t="shared" si="25"/>
        <v>0.33333333333333331</v>
      </c>
      <c r="R280" s="414">
        <v>3</v>
      </c>
      <c r="S280" s="142">
        <f t="shared" si="23"/>
        <v>1</v>
      </c>
      <c r="T280" s="414">
        <v>0</v>
      </c>
      <c r="U280" s="61">
        <v>0</v>
      </c>
      <c r="V280" s="61" t="s">
        <v>2276</v>
      </c>
      <c r="W280" s="414">
        <v>0</v>
      </c>
      <c r="X280" s="61">
        <v>0</v>
      </c>
      <c r="Y280" s="61" t="s">
        <v>2277</v>
      </c>
      <c r="Z280" s="414">
        <f>1/R280</f>
        <v>0.33333333333333331</v>
      </c>
      <c r="AA280" s="76">
        <v>0</v>
      </c>
      <c r="AB280" s="76" t="s">
        <v>2278</v>
      </c>
      <c r="AC280" s="414">
        <f>1/R280</f>
        <v>0.33333333333333331</v>
      </c>
      <c r="AD280" s="76">
        <f>+(1/1)*AC280</f>
        <v>0.33333333333333331</v>
      </c>
      <c r="AE280" s="76" t="s">
        <v>2279</v>
      </c>
      <c r="AF280" s="414">
        <f>1/R280</f>
        <v>0.33333333333333331</v>
      </c>
      <c r="AG280" s="248">
        <v>0</v>
      </c>
      <c r="AH280" s="149" t="s">
        <v>2280</v>
      </c>
      <c r="AI280" s="414">
        <v>0</v>
      </c>
      <c r="AJ280" s="414">
        <v>0</v>
      </c>
      <c r="AK280" s="414" t="s">
        <v>2281</v>
      </c>
      <c r="AL280" s="414">
        <v>0</v>
      </c>
      <c r="AM280" s="414"/>
      <c r="AN280" s="414"/>
      <c r="AO280" s="414">
        <v>0</v>
      </c>
      <c r="AP280" s="414"/>
      <c r="AQ280" s="414"/>
      <c r="AR280" s="414">
        <v>0</v>
      </c>
      <c r="AS280" s="414"/>
      <c r="AT280" s="414"/>
      <c r="AU280" s="414">
        <v>0</v>
      </c>
      <c r="AV280" s="414"/>
      <c r="AW280" s="414"/>
      <c r="AX280" s="414">
        <v>0</v>
      </c>
      <c r="AY280" s="414"/>
      <c r="AZ280" s="414"/>
      <c r="BA280" s="137">
        <v>0</v>
      </c>
      <c r="BB280" s="142"/>
      <c r="BC280" s="142"/>
      <c r="BD280" s="413">
        <f t="shared" si="21"/>
        <v>1</v>
      </c>
      <c r="BE280" s="413">
        <f t="shared" si="22"/>
        <v>0.33333333333333331</v>
      </c>
      <c r="BF280" s="60">
        <f t="shared" si="24"/>
        <v>0.33333333333333331</v>
      </c>
    </row>
    <row r="281" spans="2:58" s="2" customFormat="1" ht="84.75" hidden="1" thickBot="1">
      <c r="B281" s="44" t="s">
        <v>323</v>
      </c>
      <c r="C281" s="27" t="s">
        <v>2282</v>
      </c>
      <c r="D281" s="664"/>
      <c r="E281" s="661"/>
      <c r="F281" s="661"/>
      <c r="G281" s="414" t="s">
        <v>2283</v>
      </c>
      <c r="H281" s="414" t="s">
        <v>472</v>
      </c>
      <c r="I281" s="414">
        <v>0.2</v>
      </c>
      <c r="J281" s="414" t="s">
        <v>320</v>
      </c>
      <c r="K281" s="414" t="s">
        <v>73</v>
      </c>
      <c r="L281" s="414" t="s">
        <v>2284</v>
      </c>
      <c r="M281" s="414" t="s">
        <v>2233</v>
      </c>
      <c r="N281" s="414" t="s">
        <v>2261</v>
      </c>
      <c r="O281" s="59">
        <v>44197</v>
      </c>
      <c r="P281" s="59">
        <v>44561</v>
      </c>
      <c r="Q281" s="414">
        <f t="shared" si="25"/>
        <v>0.16666666666666666</v>
      </c>
      <c r="R281" s="414">
        <v>6</v>
      </c>
      <c r="S281" s="142">
        <f t="shared" si="23"/>
        <v>2.166666666666667</v>
      </c>
      <c r="T281" s="414">
        <v>0</v>
      </c>
      <c r="U281" s="61">
        <v>0</v>
      </c>
      <c r="V281" s="61" t="s">
        <v>2235</v>
      </c>
      <c r="W281" s="414">
        <v>0</v>
      </c>
      <c r="X281" s="61">
        <v>0</v>
      </c>
      <c r="Y281" s="61" t="s">
        <v>2235</v>
      </c>
      <c r="Z281" s="414">
        <v>0</v>
      </c>
      <c r="AA281" s="76">
        <v>0</v>
      </c>
      <c r="AB281" s="76" t="s">
        <v>2235</v>
      </c>
      <c r="AC281" s="414">
        <v>0</v>
      </c>
      <c r="AD281" s="76">
        <v>0</v>
      </c>
      <c r="AE281" s="76" t="s">
        <v>2235</v>
      </c>
      <c r="AF281" s="414">
        <f>1/R281</f>
        <v>0.16666666666666666</v>
      </c>
      <c r="AG281" s="248">
        <f>+(1/1)*AF281</f>
        <v>0.16666666666666666</v>
      </c>
      <c r="AH281" s="211" t="s">
        <v>2285</v>
      </c>
      <c r="AI281" s="414">
        <v>0</v>
      </c>
      <c r="AJ281" s="414">
        <v>0</v>
      </c>
      <c r="AK281" s="414" t="s">
        <v>2235</v>
      </c>
      <c r="AL281" s="414">
        <v>0</v>
      </c>
      <c r="AM281" s="414"/>
      <c r="AN281" s="414"/>
      <c r="AO281" s="414">
        <v>1</v>
      </c>
      <c r="AP281" s="414"/>
      <c r="AQ281" s="414"/>
      <c r="AR281" s="414">
        <v>0</v>
      </c>
      <c r="AS281" s="414"/>
      <c r="AT281" s="414"/>
      <c r="AU281" s="414">
        <v>1</v>
      </c>
      <c r="AV281" s="414"/>
      <c r="AW281" s="414"/>
      <c r="AX281" s="414">
        <v>0</v>
      </c>
      <c r="AY281" s="414"/>
      <c r="AZ281" s="414"/>
      <c r="BA281" s="137">
        <v>0</v>
      </c>
      <c r="BB281" s="142"/>
      <c r="BC281" s="142"/>
      <c r="BD281" s="413">
        <f t="shared" si="21"/>
        <v>0.16666666666666666</v>
      </c>
      <c r="BE281" s="413">
        <f t="shared" si="22"/>
        <v>0.16666666666666666</v>
      </c>
      <c r="BF281" s="60">
        <f t="shared" si="24"/>
        <v>1</v>
      </c>
    </row>
    <row r="282" spans="2:58" s="2" customFormat="1" ht="120.75" hidden="1" thickBot="1">
      <c r="B282" s="44" t="s">
        <v>323</v>
      </c>
      <c r="C282" s="27" t="s">
        <v>2286</v>
      </c>
      <c r="D282" s="664"/>
      <c r="E282" s="661"/>
      <c r="F282" s="661"/>
      <c r="G282" s="414" t="s">
        <v>2287</v>
      </c>
      <c r="H282" s="414" t="s">
        <v>472</v>
      </c>
      <c r="I282" s="414">
        <v>0.25</v>
      </c>
      <c r="J282" s="414" t="s">
        <v>320</v>
      </c>
      <c r="K282" s="414" t="s">
        <v>73</v>
      </c>
      <c r="L282" s="414" t="s">
        <v>2288</v>
      </c>
      <c r="M282" s="414" t="s">
        <v>2233</v>
      </c>
      <c r="N282" s="414" t="s">
        <v>2261</v>
      </c>
      <c r="O282" s="59">
        <v>44197</v>
      </c>
      <c r="P282" s="59">
        <v>44561</v>
      </c>
      <c r="Q282" s="414">
        <f t="shared" si="25"/>
        <v>0.60000000000000009</v>
      </c>
      <c r="R282" s="414">
        <v>10</v>
      </c>
      <c r="S282" s="142">
        <f t="shared" si="23"/>
        <v>6.4</v>
      </c>
      <c r="T282" s="414">
        <v>0.1</v>
      </c>
      <c r="U282" s="61">
        <v>0</v>
      </c>
      <c r="V282" s="61" t="s">
        <v>2235</v>
      </c>
      <c r="W282" s="414">
        <v>0.1</v>
      </c>
      <c r="X282" s="61">
        <v>0</v>
      </c>
      <c r="Y282" s="61" t="s">
        <v>2289</v>
      </c>
      <c r="Z282" s="414">
        <v>0</v>
      </c>
      <c r="AA282" s="76">
        <v>0.2</v>
      </c>
      <c r="AB282" s="76" t="s">
        <v>2290</v>
      </c>
      <c r="AC282" s="414">
        <v>0</v>
      </c>
      <c r="AD282" s="76">
        <v>0.2</v>
      </c>
      <c r="AE282" s="76" t="s">
        <v>2291</v>
      </c>
      <c r="AF282" s="414">
        <v>0.1</v>
      </c>
      <c r="AG282" s="248">
        <v>0.2</v>
      </c>
      <c r="AH282" s="149" t="s">
        <v>2292</v>
      </c>
      <c r="AI282" s="414">
        <f>1/R282</f>
        <v>0.1</v>
      </c>
      <c r="AJ282" s="414">
        <v>0</v>
      </c>
      <c r="AK282" s="414" t="s">
        <v>2293</v>
      </c>
      <c r="AL282" s="414">
        <v>2</v>
      </c>
      <c r="AM282" s="414"/>
      <c r="AN282" s="414"/>
      <c r="AO282" s="414">
        <v>1</v>
      </c>
      <c r="AP282" s="414"/>
      <c r="AQ282" s="414"/>
      <c r="AR282" s="414">
        <v>1</v>
      </c>
      <c r="AS282" s="414"/>
      <c r="AT282" s="414"/>
      <c r="AU282" s="414">
        <v>1</v>
      </c>
      <c r="AV282" s="414"/>
      <c r="AW282" s="414"/>
      <c r="AX282" s="414">
        <v>1</v>
      </c>
      <c r="AY282" s="414"/>
      <c r="AZ282" s="414"/>
      <c r="BA282" s="137">
        <v>0</v>
      </c>
      <c r="BB282" s="142"/>
      <c r="BC282" s="142"/>
      <c r="BD282" s="413">
        <f t="shared" si="21"/>
        <v>0.4</v>
      </c>
      <c r="BE282" s="413">
        <f t="shared" si="22"/>
        <v>0.60000000000000009</v>
      </c>
      <c r="BF282" s="60">
        <f t="shared" si="24"/>
        <v>1.5000000000000002</v>
      </c>
    </row>
    <row r="283" spans="2:58" s="2" customFormat="1" ht="180.75" hidden="1" thickBot="1">
      <c r="B283" s="44" t="s">
        <v>323</v>
      </c>
      <c r="C283" s="27" t="s">
        <v>2294</v>
      </c>
      <c r="D283" s="664"/>
      <c r="E283" s="661"/>
      <c r="F283" s="661"/>
      <c r="G283" s="414" t="s">
        <v>2295</v>
      </c>
      <c r="H283" s="414" t="s">
        <v>472</v>
      </c>
      <c r="I283" s="414">
        <v>0.25</v>
      </c>
      <c r="J283" s="414" t="s">
        <v>320</v>
      </c>
      <c r="K283" s="414" t="s">
        <v>73</v>
      </c>
      <c r="L283" s="414" t="s">
        <v>2296</v>
      </c>
      <c r="M283" s="414" t="s">
        <v>2233</v>
      </c>
      <c r="N283" s="414" t="s">
        <v>2261</v>
      </c>
      <c r="O283" s="59">
        <v>44197</v>
      </c>
      <c r="P283" s="59">
        <v>44561</v>
      </c>
      <c r="Q283" s="414">
        <f t="shared" si="25"/>
        <v>0.2857142857142857</v>
      </c>
      <c r="R283" s="414">
        <v>7</v>
      </c>
      <c r="S283" s="142">
        <f t="shared" si="23"/>
        <v>4.4285714285714288</v>
      </c>
      <c r="T283" s="414">
        <v>0.14285714285714285</v>
      </c>
      <c r="U283" s="61">
        <v>0</v>
      </c>
      <c r="V283" s="61" t="s">
        <v>2297</v>
      </c>
      <c r="W283" s="414">
        <v>0</v>
      </c>
      <c r="X283" s="61">
        <v>0</v>
      </c>
      <c r="Y283" s="61" t="s">
        <v>2235</v>
      </c>
      <c r="Z283" s="414">
        <v>0.14285714285714285</v>
      </c>
      <c r="AA283" s="61">
        <v>0</v>
      </c>
      <c r="AB283" s="76" t="s">
        <v>2298</v>
      </c>
      <c r="AC283" s="414">
        <v>0</v>
      </c>
      <c r="AD283" s="76">
        <v>0.2857142857142857</v>
      </c>
      <c r="AE283" s="76" t="s">
        <v>2299</v>
      </c>
      <c r="AF283" s="414">
        <v>0.14285714285714285</v>
      </c>
      <c r="AG283" s="248">
        <v>0</v>
      </c>
      <c r="AH283" s="149" t="s">
        <v>2300</v>
      </c>
      <c r="AI283" s="414">
        <v>0</v>
      </c>
      <c r="AJ283" s="414">
        <v>0</v>
      </c>
      <c r="AK283" s="414" t="s">
        <v>2301</v>
      </c>
      <c r="AL283" s="414">
        <v>1</v>
      </c>
      <c r="AM283" s="414"/>
      <c r="AN283" s="414"/>
      <c r="AO283" s="414">
        <v>0</v>
      </c>
      <c r="AP283" s="414"/>
      <c r="AQ283" s="414"/>
      <c r="AR283" s="414">
        <v>1</v>
      </c>
      <c r="AS283" s="414"/>
      <c r="AT283" s="414"/>
      <c r="AU283" s="414">
        <v>0</v>
      </c>
      <c r="AV283" s="414"/>
      <c r="AW283" s="414"/>
      <c r="AX283" s="414">
        <v>1</v>
      </c>
      <c r="AY283" s="414"/>
      <c r="AZ283" s="414"/>
      <c r="BA283" s="137">
        <v>1</v>
      </c>
      <c r="BB283" s="142"/>
      <c r="BC283" s="142"/>
      <c r="BD283" s="413">
        <f t="shared" si="21"/>
        <v>0.42857142857142855</v>
      </c>
      <c r="BE283" s="413">
        <f t="shared" si="22"/>
        <v>0.2857142857142857</v>
      </c>
      <c r="BF283" s="60">
        <f t="shared" si="24"/>
        <v>0.66666666666666663</v>
      </c>
    </row>
    <row r="284" spans="2:58" s="2" customFormat="1" ht="98.25" hidden="1" customHeight="1">
      <c r="B284" s="44" t="s">
        <v>325</v>
      </c>
      <c r="C284" s="27" t="s">
        <v>2302</v>
      </c>
      <c r="D284" s="664"/>
      <c r="E284" s="414" t="s">
        <v>326</v>
      </c>
      <c r="F284" s="414" t="s">
        <v>2303</v>
      </c>
      <c r="G284" s="414" t="s">
        <v>2304</v>
      </c>
      <c r="H284" s="414" t="s">
        <v>472</v>
      </c>
      <c r="I284" s="414">
        <v>1</v>
      </c>
      <c r="J284" s="414" t="s">
        <v>320</v>
      </c>
      <c r="K284" s="414" t="s">
        <v>73</v>
      </c>
      <c r="L284" s="414" t="s">
        <v>2305</v>
      </c>
      <c r="M284" s="414" t="s">
        <v>2306</v>
      </c>
      <c r="N284" s="414" t="s">
        <v>2261</v>
      </c>
      <c r="O284" s="59">
        <v>44197</v>
      </c>
      <c r="P284" s="59">
        <v>44561</v>
      </c>
      <c r="Q284" s="414">
        <f t="shared" si="25"/>
        <v>0.66666666666666663</v>
      </c>
      <c r="R284" s="414">
        <v>3</v>
      </c>
      <c r="S284" s="142">
        <f t="shared" si="23"/>
        <v>2.333333333333333</v>
      </c>
      <c r="T284" s="414">
        <v>0</v>
      </c>
      <c r="U284" s="61">
        <v>0</v>
      </c>
      <c r="V284" s="61" t="s">
        <v>2235</v>
      </c>
      <c r="W284" s="414">
        <v>0</v>
      </c>
      <c r="X284" s="61">
        <v>0</v>
      </c>
      <c r="Y284" s="61" t="s">
        <v>2307</v>
      </c>
      <c r="Z284" s="414">
        <f>1/R284</f>
        <v>0.33333333333333331</v>
      </c>
      <c r="AA284" s="76">
        <f>1*Z284</f>
        <v>0.33333333333333331</v>
      </c>
      <c r="AB284" s="76" t="s">
        <v>2308</v>
      </c>
      <c r="AC284" s="414">
        <v>0</v>
      </c>
      <c r="AD284" s="76">
        <v>0</v>
      </c>
      <c r="AE284" s="76" t="s">
        <v>2309</v>
      </c>
      <c r="AF284" s="414">
        <v>0</v>
      </c>
      <c r="AG284" s="248">
        <v>0</v>
      </c>
      <c r="AH284" s="149" t="s">
        <v>2310</v>
      </c>
      <c r="AI284" s="414">
        <v>0</v>
      </c>
      <c r="AJ284" s="414">
        <f>1/R284</f>
        <v>0.33333333333333331</v>
      </c>
      <c r="AK284" s="414" t="s">
        <v>2311</v>
      </c>
      <c r="AL284" s="414">
        <v>1</v>
      </c>
      <c r="AM284" s="414"/>
      <c r="AN284" s="414"/>
      <c r="AO284" s="414">
        <v>0</v>
      </c>
      <c r="AP284" s="414"/>
      <c r="AQ284" s="414"/>
      <c r="AR284" s="414">
        <v>0</v>
      </c>
      <c r="AS284" s="414"/>
      <c r="AT284" s="414"/>
      <c r="AU284" s="414">
        <v>1</v>
      </c>
      <c r="AV284" s="414"/>
      <c r="AW284" s="414"/>
      <c r="AX284" s="414">
        <v>0</v>
      </c>
      <c r="AY284" s="414"/>
      <c r="AZ284" s="414"/>
      <c r="BA284" s="137">
        <v>0</v>
      </c>
      <c r="BB284" s="142"/>
      <c r="BC284" s="142"/>
      <c r="BD284" s="413">
        <f t="shared" si="21"/>
        <v>0.33333333333333331</v>
      </c>
      <c r="BE284" s="413">
        <f t="shared" si="22"/>
        <v>0.66666666666666663</v>
      </c>
      <c r="BF284" s="60">
        <f t="shared" si="24"/>
        <v>2</v>
      </c>
    </row>
    <row r="285" spans="2:58" s="2" customFormat="1" ht="56.25" hidden="1" customHeight="1">
      <c r="B285" s="44" t="s">
        <v>327</v>
      </c>
      <c r="C285" s="27" t="s">
        <v>2312</v>
      </c>
      <c r="D285" s="664"/>
      <c r="E285" s="661" t="s">
        <v>328</v>
      </c>
      <c r="F285" s="661" t="s">
        <v>2313</v>
      </c>
      <c r="G285" s="417" t="s">
        <v>2314</v>
      </c>
      <c r="H285" s="417" t="s">
        <v>531</v>
      </c>
      <c r="I285" s="417">
        <v>0.4</v>
      </c>
      <c r="J285" s="417" t="s">
        <v>329</v>
      </c>
      <c r="K285" s="417" t="s">
        <v>73</v>
      </c>
      <c r="L285" s="417" t="s">
        <v>2296</v>
      </c>
      <c r="M285" s="417" t="s">
        <v>2233</v>
      </c>
      <c r="N285" s="417" t="s">
        <v>2261</v>
      </c>
      <c r="O285" s="40">
        <v>44197</v>
      </c>
      <c r="P285" s="40">
        <v>44561</v>
      </c>
      <c r="Q285" s="417">
        <f t="shared" si="25"/>
        <v>0</v>
      </c>
      <c r="R285" s="417">
        <v>3</v>
      </c>
      <c r="S285" s="41">
        <f t="shared" si="23"/>
        <v>3</v>
      </c>
      <c r="T285" s="417">
        <v>0</v>
      </c>
      <c r="U285" s="82">
        <v>0</v>
      </c>
      <c r="V285" s="82" t="s">
        <v>2235</v>
      </c>
      <c r="W285" s="417">
        <v>0</v>
      </c>
      <c r="X285" s="82">
        <v>0</v>
      </c>
      <c r="Y285" s="82" t="s">
        <v>2315</v>
      </c>
      <c r="Z285" s="417">
        <v>0</v>
      </c>
      <c r="AA285" s="113">
        <v>0</v>
      </c>
      <c r="AB285" s="113" t="s">
        <v>2316</v>
      </c>
      <c r="AC285" s="417">
        <v>0</v>
      </c>
      <c r="AD285" s="113">
        <v>0</v>
      </c>
      <c r="AE285" s="113" t="s">
        <v>2317</v>
      </c>
      <c r="AF285" s="417">
        <v>0</v>
      </c>
      <c r="AG285" s="138">
        <v>0</v>
      </c>
      <c r="AH285" s="179" t="s">
        <v>2318</v>
      </c>
      <c r="AI285" s="417">
        <v>0</v>
      </c>
      <c r="AJ285" s="417">
        <v>0</v>
      </c>
      <c r="AK285" s="417" t="s">
        <v>2319</v>
      </c>
      <c r="AL285" s="417">
        <v>0</v>
      </c>
      <c r="AM285" s="417"/>
      <c r="AN285" s="417"/>
      <c r="AO285" s="417">
        <v>0</v>
      </c>
      <c r="AP285" s="417"/>
      <c r="AQ285" s="417"/>
      <c r="AR285" s="417">
        <v>0</v>
      </c>
      <c r="AS285" s="417"/>
      <c r="AT285" s="417"/>
      <c r="AU285" s="417">
        <v>0</v>
      </c>
      <c r="AV285" s="417"/>
      <c r="AW285" s="417"/>
      <c r="AX285" s="417">
        <v>3</v>
      </c>
      <c r="AY285" s="417"/>
      <c r="AZ285" s="417"/>
      <c r="BA285" s="417">
        <v>0</v>
      </c>
      <c r="BB285" s="41"/>
      <c r="BC285" s="41"/>
      <c r="BD285" s="413">
        <f t="shared" si="21"/>
        <v>0</v>
      </c>
      <c r="BE285" s="413">
        <f t="shared" si="22"/>
        <v>0</v>
      </c>
      <c r="BF285" s="68" t="str">
        <f t="shared" si="24"/>
        <v>No programación, No avance</v>
      </c>
    </row>
    <row r="286" spans="2:58" s="2" customFormat="1" ht="312.75" hidden="1" thickBot="1">
      <c r="B286" s="44" t="s">
        <v>327</v>
      </c>
      <c r="C286" s="27" t="s">
        <v>2320</v>
      </c>
      <c r="D286" s="664"/>
      <c r="E286" s="661"/>
      <c r="F286" s="661"/>
      <c r="G286" s="414" t="s">
        <v>2321</v>
      </c>
      <c r="H286" s="414" t="s">
        <v>472</v>
      </c>
      <c r="I286" s="414">
        <v>0.5</v>
      </c>
      <c r="J286" s="414" t="s">
        <v>332</v>
      </c>
      <c r="K286" s="414" t="s">
        <v>73</v>
      </c>
      <c r="L286" s="414" t="s">
        <v>2296</v>
      </c>
      <c r="M286" s="414" t="s">
        <v>2233</v>
      </c>
      <c r="N286" s="414" t="s">
        <v>2261</v>
      </c>
      <c r="O286" s="59">
        <v>44197</v>
      </c>
      <c r="P286" s="59">
        <v>44561</v>
      </c>
      <c r="Q286" s="414">
        <f t="shared" si="25"/>
        <v>0.2</v>
      </c>
      <c r="R286" s="414">
        <v>5</v>
      </c>
      <c r="S286" s="142">
        <f t="shared" si="23"/>
        <v>5</v>
      </c>
      <c r="T286" s="414">
        <v>0</v>
      </c>
      <c r="U286" s="61">
        <v>0</v>
      </c>
      <c r="V286" s="61" t="s">
        <v>2235</v>
      </c>
      <c r="W286" s="414">
        <v>0</v>
      </c>
      <c r="X286" s="61">
        <v>0</v>
      </c>
      <c r="Y286" s="61" t="s">
        <v>2322</v>
      </c>
      <c r="Z286" s="414">
        <v>0</v>
      </c>
      <c r="AA286" s="76">
        <v>0</v>
      </c>
      <c r="AB286" s="76" t="s">
        <v>2323</v>
      </c>
      <c r="AC286" s="414">
        <v>0</v>
      </c>
      <c r="AD286" s="76">
        <f>1/R286</f>
        <v>0.2</v>
      </c>
      <c r="AE286" s="76" t="s">
        <v>2324</v>
      </c>
      <c r="AF286" s="414">
        <v>0</v>
      </c>
      <c r="AG286" s="248">
        <v>0</v>
      </c>
      <c r="AH286" s="149" t="s">
        <v>2325</v>
      </c>
      <c r="AI286" s="414">
        <v>0</v>
      </c>
      <c r="AJ286" s="414">
        <v>0</v>
      </c>
      <c r="AK286" s="414" t="s">
        <v>2326</v>
      </c>
      <c r="AL286" s="414">
        <v>0</v>
      </c>
      <c r="AM286" s="414"/>
      <c r="AN286" s="414"/>
      <c r="AO286" s="414">
        <v>0</v>
      </c>
      <c r="AP286" s="414"/>
      <c r="AQ286" s="414"/>
      <c r="AR286" s="414">
        <v>0</v>
      </c>
      <c r="AS286" s="414"/>
      <c r="AT286" s="414"/>
      <c r="AU286" s="414">
        <v>0</v>
      </c>
      <c r="AV286" s="414"/>
      <c r="AW286" s="414"/>
      <c r="AX286" s="414">
        <v>0</v>
      </c>
      <c r="AY286" s="414"/>
      <c r="AZ286" s="414"/>
      <c r="BA286" s="137">
        <v>5</v>
      </c>
      <c r="BB286" s="142"/>
      <c r="BC286" s="142"/>
      <c r="BD286" s="413">
        <f t="shared" si="21"/>
        <v>0</v>
      </c>
      <c r="BE286" s="413">
        <f t="shared" si="22"/>
        <v>0.2</v>
      </c>
      <c r="BF286" s="60">
        <f t="shared" si="24"/>
        <v>0.04</v>
      </c>
    </row>
    <row r="287" spans="2:58" s="2" customFormat="1" ht="120.75" hidden="1" thickBot="1">
      <c r="B287" s="44" t="s">
        <v>327</v>
      </c>
      <c r="C287" s="27" t="s">
        <v>2327</v>
      </c>
      <c r="D287" s="664"/>
      <c r="E287" s="661"/>
      <c r="F287" s="661"/>
      <c r="G287" s="414" t="s">
        <v>2328</v>
      </c>
      <c r="H287" s="414" t="s">
        <v>472</v>
      </c>
      <c r="I287" s="414">
        <v>0.1</v>
      </c>
      <c r="J287" s="414" t="s">
        <v>319</v>
      </c>
      <c r="K287" s="414" t="s">
        <v>73</v>
      </c>
      <c r="L287" s="414" t="s">
        <v>2296</v>
      </c>
      <c r="M287" s="414" t="s">
        <v>2233</v>
      </c>
      <c r="N287" s="414" t="s">
        <v>2261</v>
      </c>
      <c r="O287" s="59">
        <v>44197</v>
      </c>
      <c r="P287" s="59">
        <v>44561</v>
      </c>
      <c r="Q287" s="414">
        <f t="shared" si="25"/>
        <v>0.66666666666666663</v>
      </c>
      <c r="R287" s="414">
        <v>3</v>
      </c>
      <c r="S287" s="142">
        <f t="shared" si="23"/>
        <v>3</v>
      </c>
      <c r="T287" s="414">
        <v>0</v>
      </c>
      <c r="U287" s="61">
        <v>0</v>
      </c>
      <c r="V287" s="61" t="s">
        <v>2235</v>
      </c>
      <c r="W287" s="414">
        <v>0</v>
      </c>
      <c r="X287" s="61">
        <v>0</v>
      </c>
      <c r="Y287" s="61" t="s">
        <v>2329</v>
      </c>
      <c r="Z287" s="414">
        <v>0</v>
      </c>
      <c r="AA287" s="76">
        <v>0</v>
      </c>
      <c r="AB287" s="76" t="s">
        <v>2330</v>
      </c>
      <c r="AC287" s="414">
        <v>0</v>
      </c>
      <c r="AD287" s="76">
        <f>1/R287</f>
        <v>0.33333333333333331</v>
      </c>
      <c r="AE287" s="76" t="s">
        <v>2331</v>
      </c>
      <c r="AF287" s="414">
        <v>0</v>
      </c>
      <c r="AG287" s="248">
        <v>0</v>
      </c>
      <c r="AH287" s="149" t="s">
        <v>2235</v>
      </c>
      <c r="AI287" s="414">
        <v>0</v>
      </c>
      <c r="AJ287" s="414">
        <f>1/R287</f>
        <v>0.33333333333333331</v>
      </c>
      <c r="AK287" s="414" t="s">
        <v>2332</v>
      </c>
      <c r="AL287" s="414">
        <v>0</v>
      </c>
      <c r="AM287" s="414"/>
      <c r="AN287" s="414"/>
      <c r="AO287" s="414">
        <v>0</v>
      </c>
      <c r="AP287" s="414"/>
      <c r="AQ287" s="414"/>
      <c r="AR287" s="414">
        <v>0</v>
      </c>
      <c r="AS287" s="414"/>
      <c r="AT287" s="414"/>
      <c r="AU287" s="414">
        <v>0</v>
      </c>
      <c r="AV287" s="414"/>
      <c r="AW287" s="414"/>
      <c r="AX287" s="414">
        <v>0</v>
      </c>
      <c r="AY287" s="414"/>
      <c r="AZ287" s="414"/>
      <c r="BA287" s="137">
        <v>3</v>
      </c>
      <c r="BB287" s="142"/>
      <c r="BC287" s="142"/>
      <c r="BD287" s="413">
        <f t="shared" si="21"/>
        <v>0</v>
      </c>
      <c r="BE287" s="413">
        <f t="shared" si="22"/>
        <v>0.66666666666666663</v>
      </c>
      <c r="BF287" s="60">
        <f t="shared" si="24"/>
        <v>0.22222222222222221</v>
      </c>
    </row>
    <row r="288" spans="2:58" s="2" customFormat="1" ht="36" hidden="1" customHeight="1">
      <c r="B288" s="44" t="s">
        <v>330</v>
      </c>
      <c r="C288" s="27" t="s">
        <v>2333</v>
      </c>
      <c r="D288" s="664"/>
      <c r="E288" s="661" t="s">
        <v>331</v>
      </c>
      <c r="F288" s="661" t="s">
        <v>2334</v>
      </c>
      <c r="G288" s="414" t="s">
        <v>2335</v>
      </c>
      <c r="H288" s="414" t="s">
        <v>472</v>
      </c>
      <c r="I288" s="414">
        <v>0.35</v>
      </c>
      <c r="J288" s="414" t="s">
        <v>332</v>
      </c>
      <c r="K288" s="414" t="s">
        <v>73</v>
      </c>
      <c r="L288" s="414" t="s">
        <v>2296</v>
      </c>
      <c r="M288" s="414" t="s">
        <v>2336</v>
      </c>
      <c r="N288" s="414" t="s">
        <v>2261</v>
      </c>
      <c r="O288" s="59">
        <v>44197</v>
      </c>
      <c r="P288" s="59">
        <v>44561</v>
      </c>
      <c r="Q288" s="414">
        <f t="shared" si="25"/>
        <v>2</v>
      </c>
      <c r="R288" s="414">
        <v>2</v>
      </c>
      <c r="S288" s="142">
        <f t="shared" si="23"/>
        <v>2</v>
      </c>
      <c r="T288" s="414">
        <v>0</v>
      </c>
      <c r="U288" s="61">
        <v>0</v>
      </c>
      <c r="V288" s="61" t="s">
        <v>2235</v>
      </c>
      <c r="W288" s="414">
        <v>0</v>
      </c>
      <c r="X288" s="61">
        <f>1/R288</f>
        <v>0.5</v>
      </c>
      <c r="Y288" s="61" t="s">
        <v>2337</v>
      </c>
      <c r="Z288" s="414">
        <v>0</v>
      </c>
      <c r="AA288" s="76">
        <v>0</v>
      </c>
      <c r="AB288" s="76" t="s">
        <v>2338</v>
      </c>
      <c r="AC288" s="414">
        <v>0</v>
      </c>
      <c r="AD288" s="76">
        <v>1</v>
      </c>
      <c r="AE288" s="76" t="s">
        <v>2339</v>
      </c>
      <c r="AF288" s="414">
        <v>0</v>
      </c>
      <c r="AG288" s="248">
        <v>0</v>
      </c>
      <c r="AH288" s="149" t="s">
        <v>2340</v>
      </c>
      <c r="AI288" s="414">
        <v>0</v>
      </c>
      <c r="AJ288" s="414">
        <f>1/R288</f>
        <v>0.5</v>
      </c>
      <c r="AK288" s="414" t="s">
        <v>2341</v>
      </c>
      <c r="AL288" s="414">
        <v>0</v>
      </c>
      <c r="AM288" s="414"/>
      <c r="AN288" s="414"/>
      <c r="AO288" s="414">
        <v>0</v>
      </c>
      <c r="AP288" s="414"/>
      <c r="AQ288" s="414"/>
      <c r="AR288" s="414">
        <v>0</v>
      </c>
      <c r="AS288" s="414"/>
      <c r="AT288" s="414"/>
      <c r="AU288" s="414">
        <v>0</v>
      </c>
      <c r="AV288" s="414"/>
      <c r="AW288" s="414"/>
      <c r="AX288" s="414">
        <v>0</v>
      </c>
      <c r="AY288" s="414"/>
      <c r="AZ288" s="414"/>
      <c r="BA288" s="137">
        <v>2</v>
      </c>
      <c r="BB288" s="142"/>
      <c r="BC288" s="142"/>
      <c r="BD288" s="413">
        <f t="shared" si="21"/>
        <v>0</v>
      </c>
      <c r="BE288" s="413">
        <f t="shared" si="22"/>
        <v>2</v>
      </c>
      <c r="BF288" s="60">
        <f t="shared" si="24"/>
        <v>1</v>
      </c>
    </row>
    <row r="289" spans="1:67" s="2" customFormat="1" ht="132.75" hidden="1" thickBot="1">
      <c r="B289" s="44" t="s">
        <v>330</v>
      </c>
      <c r="C289" s="27" t="s">
        <v>2342</v>
      </c>
      <c r="D289" s="665"/>
      <c r="E289" s="662"/>
      <c r="F289" s="662"/>
      <c r="G289" s="415" t="s">
        <v>2343</v>
      </c>
      <c r="H289" s="415" t="s">
        <v>472</v>
      </c>
      <c r="I289" s="415">
        <v>0.65</v>
      </c>
      <c r="J289" s="415" t="s">
        <v>332</v>
      </c>
      <c r="K289" s="415" t="s">
        <v>73</v>
      </c>
      <c r="L289" s="415" t="s">
        <v>2296</v>
      </c>
      <c r="M289" s="415" t="s">
        <v>2336</v>
      </c>
      <c r="N289" s="415" t="s">
        <v>2261</v>
      </c>
      <c r="O289" s="64">
        <v>44197</v>
      </c>
      <c r="P289" s="64">
        <v>44561</v>
      </c>
      <c r="Q289" s="415">
        <f t="shared" si="25"/>
        <v>0.66666666666666663</v>
      </c>
      <c r="R289" s="415">
        <v>6</v>
      </c>
      <c r="S289" s="66">
        <f t="shared" si="23"/>
        <v>6</v>
      </c>
      <c r="T289" s="415">
        <v>0</v>
      </c>
      <c r="U289" s="193">
        <v>0</v>
      </c>
      <c r="V289" s="193" t="s">
        <v>2235</v>
      </c>
      <c r="W289" s="415">
        <v>0</v>
      </c>
      <c r="X289" s="193">
        <f>1/R289</f>
        <v>0.16666666666666666</v>
      </c>
      <c r="Y289" s="193" t="s">
        <v>2344</v>
      </c>
      <c r="Z289" s="415">
        <v>0</v>
      </c>
      <c r="AA289" s="212">
        <f>1/R289</f>
        <v>0.16666666666666666</v>
      </c>
      <c r="AB289" s="212" t="s">
        <v>2345</v>
      </c>
      <c r="AC289" s="415">
        <v>0</v>
      </c>
      <c r="AD289" s="212">
        <f>1/R289</f>
        <v>0.16666666666666666</v>
      </c>
      <c r="AE289" s="212" t="s">
        <v>2346</v>
      </c>
      <c r="AF289" s="415">
        <v>0</v>
      </c>
      <c r="AG289" s="249">
        <f>1/R289</f>
        <v>0.16666666666666666</v>
      </c>
      <c r="AH289" s="213" t="s">
        <v>2347</v>
      </c>
      <c r="AI289" s="415">
        <v>0</v>
      </c>
      <c r="AJ289" s="415">
        <v>0</v>
      </c>
      <c r="AK289" s="415" t="s">
        <v>2348</v>
      </c>
      <c r="AL289" s="415">
        <v>0</v>
      </c>
      <c r="AM289" s="415"/>
      <c r="AN289" s="415"/>
      <c r="AO289" s="415">
        <v>0</v>
      </c>
      <c r="AP289" s="415"/>
      <c r="AQ289" s="415"/>
      <c r="AR289" s="415">
        <v>0</v>
      </c>
      <c r="AS289" s="415"/>
      <c r="AT289" s="415"/>
      <c r="AU289" s="415">
        <v>0</v>
      </c>
      <c r="AV289" s="415"/>
      <c r="AW289" s="415"/>
      <c r="AX289" s="415">
        <v>0</v>
      </c>
      <c r="AY289" s="415"/>
      <c r="AZ289" s="415"/>
      <c r="BA289" s="192">
        <v>6</v>
      </c>
      <c r="BB289" s="66"/>
      <c r="BC289" s="66"/>
      <c r="BD289" s="413">
        <f t="shared" si="21"/>
        <v>0</v>
      </c>
      <c r="BE289" s="413">
        <f t="shared" si="22"/>
        <v>0.66666666666666663</v>
      </c>
      <c r="BF289" s="67">
        <f t="shared" si="24"/>
        <v>0.1111111111111111</v>
      </c>
    </row>
    <row r="290" spans="1:67" s="4" customFormat="1" ht="36" hidden="1" customHeight="1">
      <c r="A290" s="2"/>
      <c r="B290" s="44" t="s">
        <v>333</v>
      </c>
      <c r="C290" s="27" t="s">
        <v>2349</v>
      </c>
      <c r="D290" s="672" t="s">
        <v>26</v>
      </c>
      <c r="E290" s="647" t="s">
        <v>334</v>
      </c>
      <c r="F290" s="647" t="s">
        <v>2350</v>
      </c>
      <c r="G290" s="409" t="s">
        <v>2351</v>
      </c>
      <c r="H290" s="409" t="s">
        <v>472</v>
      </c>
      <c r="I290" s="409">
        <v>0.1</v>
      </c>
      <c r="J290" s="409" t="s">
        <v>2352</v>
      </c>
      <c r="K290" s="409" t="s">
        <v>73</v>
      </c>
      <c r="L290" s="409" t="s">
        <v>902</v>
      </c>
      <c r="M290" s="409" t="s">
        <v>2353</v>
      </c>
      <c r="N290" s="409" t="s">
        <v>2354</v>
      </c>
      <c r="O290" s="37">
        <v>44197</v>
      </c>
      <c r="P290" s="37">
        <v>44561</v>
      </c>
      <c r="Q290" s="409">
        <f t="shared" si="25"/>
        <v>0</v>
      </c>
      <c r="R290" s="409">
        <v>1</v>
      </c>
      <c r="S290" s="412">
        <f t="shared" si="23"/>
        <v>1</v>
      </c>
      <c r="T290" s="409">
        <v>0</v>
      </c>
      <c r="U290" s="409">
        <v>0</v>
      </c>
      <c r="V290" s="409" t="s">
        <v>2355</v>
      </c>
      <c r="W290" s="409">
        <v>0</v>
      </c>
      <c r="X290" s="409">
        <v>0</v>
      </c>
      <c r="Y290" s="409" t="s">
        <v>2355</v>
      </c>
      <c r="Z290" s="409">
        <v>0</v>
      </c>
      <c r="AA290" s="54">
        <v>0</v>
      </c>
      <c r="AB290" s="54" t="s">
        <v>2355</v>
      </c>
      <c r="AC290" s="409">
        <v>0</v>
      </c>
      <c r="AD290" s="54">
        <v>0</v>
      </c>
      <c r="AE290" s="54" t="s">
        <v>2356</v>
      </c>
      <c r="AF290" s="409">
        <v>0</v>
      </c>
      <c r="AG290" s="250">
        <v>0</v>
      </c>
      <c r="AH290" s="152" t="s">
        <v>2356</v>
      </c>
      <c r="AI290" s="409">
        <v>0</v>
      </c>
      <c r="AJ290" s="409">
        <v>0</v>
      </c>
      <c r="AK290" s="409" t="s">
        <v>2356</v>
      </c>
      <c r="AL290" s="409">
        <v>0</v>
      </c>
      <c r="AM290" s="409"/>
      <c r="AN290" s="409"/>
      <c r="AO290" s="409">
        <v>0</v>
      </c>
      <c r="AP290" s="409"/>
      <c r="AQ290" s="409"/>
      <c r="AR290" s="409">
        <v>0</v>
      </c>
      <c r="AS290" s="409"/>
      <c r="AT290" s="409"/>
      <c r="AU290" s="409">
        <v>1</v>
      </c>
      <c r="AV290" s="409"/>
      <c r="AW290" s="409"/>
      <c r="AX290" s="409">
        <v>0</v>
      </c>
      <c r="AY290" s="409"/>
      <c r="AZ290" s="409"/>
      <c r="BA290" s="175">
        <v>0</v>
      </c>
      <c r="BB290" s="412"/>
      <c r="BC290" s="412"/>
      <c r="BD290" s="413">
        <f t="shared" si="21"/>
        <v>0</v>
      </c>
      <c r="BE290" s="413">
        <f t="shared" si="22"/>
        <v>0</v>
      </c>
      <c r="BF290" s="46" t="str">
        <f t="shared" si="24"/>
        <v>No programación, No avance</v>
      </c>
      <c r="BG290" s="26">
        <f>+AVERAGE(BF290:BF296)</f>
        <v>0.93333333333333324</v>
      </c>
      <c r="BH290" s="3"/>
      <c r="BI290" s="3"/>
      <c r="BJ290" s="3"/>
      <c r="BK290" s="3"/>
      <c r="BL290" s="3"/>
      <c r="BM290" s="3"/>
      <c r="BN290" s="3"/>
      <c r="BO290" s="3"/>
    </row>
    <row r="291" spans="1:67" s="2" customFormat="1" ht="84.75" hidden="1" thickBot="1">
      <c r="B291" s="44" t="s">
        <v>333</v>
      </c>
      <c r="C291" s="27" t="s">
        <v>2357</v>
      </c>
      <c r="D291" s="673"/>
      <c r="E291" s="648"/>
      <c r="F291" s="648"/>
      <c r="G291" s="410" t="s">
        <v>2358</v>
      </c>
      <c r="H291" s="410" t="s">
        <v>472</v>
      </c>
      <c r="I291" s="410">
        <v>0.1</v>
      </c>
      <c r="J291" s="410" t="s">
        <v>2359</v>
      </c>
      <c r="K291" s="410" t="s">
        <v>73</v>
      </c>
      <c r="L291" s="410" t="s">
        <v>902</v>
      </c>
      <c r="M291" s="410" t="s">
        <v>2353</v>
      </c>
      <c r="N291" s="410" t="s">
        <v>2354</v>
      </c>
      <c r="O291" s="38">
        <v>44197</v>
      </c>
      <c r="P291" s="38">
        <v>44561</v>
      </c>
      <c r="Q291" s="410">
        <f t="shared" si="25"/>
        <v>0.33333333333333331</v>
      </c>
      <c r="R291" s="410">
        <v>6</v>
      </c>
      <c r="S291" s="413">
        <f t="shared" si="23"/>
        <v>3.5</v>
      </c>
      <c r="T291" s="410">
        <v>0</v>
      </c>
      <c r="U291" s="410">
        <v>0</v>
      </c>
      <c r="V291" s="410" t="s">
        <v>2360</v>
      </c>
      <c r="W291" s="410">
        <v>0</v>
      </c>
      <c r="X291" s="410">
        <v>0</v>
      </c>
      <c r="Y291" s="410" t="s">
        <v>2360</v>
      </c>
      <c r="Z291" s="410">
        <v>0</v>
      </c>
      <c r="AA291" s="51">
        <f>1/R291</f>
        <v>0.16666666666666666</v>
      </c>
      <c r="AB291" s="51" t="s">
        <v>2361</v>
      </c>
      <c r="AC291" s="410">
        <v>0</v>
      </c>
      <c r="AD291" s="51">
        <v>0</v>
      </c>
      <c r="AE291" s="51" t="s">
        <v>2362</v>
      </c>
      <c r="AF291" s="410">
        <v>0</v>
      </c>
      <c r="AG291" s="241">
        <v>0</v>
      </c>
      <c r="AH291" s="154" t="s">
        <v>2363</v>
      </c>
      <c r="AI291" s="410">
        <f>3/R291</f>
        <v>0.5</v>
      </c>
      <c r="AJ291" s="410">
        <f>+(1/3)*AI291</f>
        <v>0.16666666666666666</v>
      </c>
      <c r="AK291" s="410" t="s">
        <v>2364</v>
      </c>
      <c r="AL291" s="410">
        <v>0</v>
      </c>
      <c r="AM291" s="410"/>
      <c r="AN291" s="410"/>
      <c r="AO291" s="410">
        <v>0</v>
      </c>
      <c r="AP291" s="410"/>
      <c r="AQ291" s="410"/>
      <c r="AR291" s="410">
        <v>0</v>
      </c>
      <c r="AS291" s="410"/>
      <c r="AT291" s="410"/>
      <c r="AU291" s="410">
        <v>0</v>
      </c>
      <c r="AV291" s="410"/>
      <c r="AW291" s="410"/>
      <c r="AX291" s="410">
        <v>0</v>
      </c>
      <c r="AY291" s="410"/>
      <c r="AZ291" s="410"/>
      <c r="BA291" s="137">
        <v>3</v>
      </c>
      <c r="BB291" s="413"/>
      <c r="BC291" s="413"/>
      <c r="BD291" s="413">
        <f t="shared" si="21"/>
        <v>0.5</v>
      </c>
      <c r="BE291" s="413">
        <f t="shared" si="22"/>
        <v>0.33333333333333331</v>
      </c>
      <c r="BF291" s="48">
        <f t="shared" si="24"/>
        <v>0.66666666666666663</v>
      </c>
    </row>
    <row r="292" spans="1:67" s="2" customFormat="1" ht="84.75" hidden="1" thickBot="1">
      <c r="B292" s="44" t="s">
        <v>333</v>
      </c>
      <c r="C292" s="27" t="s">
        <v>2365</v>
      </c>
      <c r="D292" s="673"/>
      <c r="E292" s="648"/>
      <c r="F292" s="648"/>
      <c r="G292" s="410" t="s">
        <v>2366</v>
      </c>
      <c r="H292" s="410" t="s">
        <v>472</v>
      </c>
      <c r="I292" s="410">
        <v>0.1</v>
      </c>
      <c r="J292" s="410" t="s">
        <v>2359</v>
      </c>
      <c r="K292" s="410" t="s">
        <v>73</v>
      </c>
      <c r="L292" s="410" t="s">
        <v>902</v>
      </c>
      <c r="M292" s="410" t="s">
        <v>2353</v>
      </c>
      <c r="N292" s="410" t="s">
        <v>2354</v>
      </c>
      <c r="O292" s="38">
        <v>44197</v>
      </c>
      <c r="P292" s="38">
        <v>44561</v>
      </c>
      <c r="Q292" s="410">
        <f t="shared" si="25"/>
        <v>0.5</v>
      </c>
      <c r="R292" s="410">
        <v>4</v>
      </c>
      <c r="S292" s="413">
        <f t="shared" si="23"/>
        <v>2.5</v>
      </c>
      <c r="T292" s="410">
        <v>0</v>
      </c>
      <c r="U292" s="410">
        <v>0</v>
      </c>
      <c r="V292" s="410" t="s">
        <v>2367</v>
      </c>
      <c r="W292" s="410">
        <v>0</v>
      </c>
      <c r="X292" s="410">
        <v>0</v>
      </c>
      <c r="Y292" s="410" t="s">
        <v>2367</v>
      </c>
      <c r="Z292" s="410">
        <v>0</v>
      </c>
      <c r="AA292" s="51">
        <v>0</v>
      </c>
      <c r="AB292" s="51" t="s">
        <v>2367</v>
      </c>
      <c r="AC292" s="410">
        <v>0</v>
      </c>
      <c r="AD292" s="51">
        <v>0</v>
      </c>
      <c r="AE292" s="51" t="s">
        <v>2367</v>
      </c>
      <c r="AF292" s="410">
        <v>0</v>
      </c>
      <c r="AG292" s="241">
        <f>1/R292</f>
        <v>0.25</v>
      </c>
      <c r="AH292" s="154" t="s">
        <v>2368</v>
      </c>
      <c r="AI292" s="410">
        <f>2/R292</f>
        <v>0.5</v>
      </c>
      <c r="AJ292" s="410">
        <f>+(1/2)*AI292</f>
        <v>0.25</v>
      </c>
      <c r="AK292" s="410" t="s">
        <v>2369</v>
      </c>
      <c r="AL292" s="410">
        <v>0</v>
      </c>
      <c r="AM292" s="410"/>
      <c r="AN292" s="410"/>
      <c r="AO292" s="410">
        <v>0</v>
      </c>
      <c r="AP292" s="410"/>
      <c r="AQ292" s="410"/>
      <c r="AR292" s="410">
        <v>0</v>
      </c>
      <c r="AS292" s="410"/>
      <c r="AT292" s="410"/>
      <c r="AU292" s="410">
        <v>0</v>
      </c>
      <c r="AV292" s="410"/>
      <c r="AW292" s="410"/>
      <c r="AX292" s="410">
        <v>0</v>
      </c>
      <c r="AY292" s="410"/>
      <c r="AZ292" s="410"/>
      <c r="BA292" s="137">
        <v>2</v>
      </c>
      <c r="BB292" s="413"/>
      <c r="BC292" s="413"/>
      <c r="BD292" s="413">
        <f t="shared" si="21"/>
        <v>0.5</v>
      </c>
      <c r="BE292" s="413">
        <f t="shared" si="22"/>
        <v>0.5</v>
      </c>
      <c r="BF292" s="48">
        <f t="shared" si="24"/>
        <v>1</v>
      </c>
    </row>
    <row r="293" spans="1:67" s="2" customFormat="1" ht="96.75" hidden="1" thickBot="1">
      <c r="B293" s="44" t="s">
        <v>333</v>
      </c>
      <c r="C293" s="27" t="s">
        <v>2370</v>
      </c>
      <c r="D293" s="673"/>
      <c r="E293" s="648"/>
      <c r="F293" s="648"/>
      <c r="G293" s="410" t="s">
        <v>2371</v>
      </c>
      <c r="H293" s="410" t="s">
        <v>472</v>
      </c>
      <c r="I293" s="410">
        <v>0.15</v>
      </c>
      <c r="J293" s="410" t="s">
        <v>2372</v>
      </c>
      <c r="K293" s="410" t="s">
        <v>73</v>
      </c>
      <c r="L293" s="410" t="s">
        <v>902</v>
      </c>
      <c r="M293" s="410" t="s">
        <v>2353</v>
      </c>
      <c r="N293" s="410" t="s">
        <v>2354</v>
      </c>
      <c r="O293" s="38">
        <v>44197</v>
      </c>
      <c r="P293" s="38">
        <v>44561</v>
      </c>
      <c r="Q293" s="410">
        <f t="shared" si="25"/>
        <v>0.5</v>
      </c>
      <c r="R293" s="410">
        <v>2</v>
      </c>
      <c r="S293" s="413">
        <f t="shared" si="23"/>
        <v>1.5</v>
      </c>
      <c r="T293" s="410">
        <v>0.5</v>
      </c>
      <c r="U293" s="410">
        <v>0</v>
      </c>
      <c r="V293" s="410" t="s">
        <v>2373</v>
      </c>
      <c r="W293" s="410">
        <v>0</v>
      </c>
      <c r="X293" s="410">
        <f>1/R293</f>
        <v>0.5</v>
      </c>
      <c r="Y293" s="410" t="s">
        <v>2374</v>
      </c>
      <c r="Z293" s="410">
        <v>0</v>
      </c>
      <c r="AA293" s="51">
        <v>0</v>
      </c>
      <c r="AB293" s="51" t="s">
        <v>2375</v>
      </c>
      <c r="AC293" s="410">
        <v>0</v>
      </c>
      <c r="AD293" s="51">
        <v>0</v>
      </c>
      <c r="AE293" s="51" t="s">
        <v>2375</v>
      </c>
      <c r="AF293" s="410">
        <v>0</v>
      </c>
      <c r="AG293" s="241">
        <v>0</v>
      </c>
      <c r="AH293" s="154" t="s">
        <v>2375</v>
      </c>
      <c r="AI293" s="410">
        <v>0</v>
      </c>
      <c r="AJ293" s="410">
        <v>0</v>
      </c>
      <c r="AK293" s="410" t="s">
        <v>2376</v>
      </c>
      <c r="AL293" s="410">
        <v>1</v>
      </c>
      <c r="AM293" s="410"/>
      <c r="AN293" s="410"/>
      <c r="AO293" s="410">
        <v>0</v>
      </c>
      <c r="AP293" s="410"/>
      <c r="AQ293" s="410"/>
      <c r="AR293" s="410">
        <v>0</v>
      </c>
      <c r="AS293" s="410"/>
      <c r="AT293" s="410"/>
      <c r="AU293" s="410">
        <v>0</v>
      </c>
      <c r="AV293" s="410"/>
      <c r="AW293" s="410"/>
      <c r="AX293" s="410">
        <v>0</v>
      </c>
      <c r="AY293" s="410"/>
      <c r="AZ293" s="410"/>
      <c r="BA293" s="137">
        <v>0</v>
      </c>
      <c r="BB293" s="413"/>
      <c r="BC293" s="413"/>
      <c r="BD293" s="413">
        <f t="shared" si="21"/>
        <v>0.5</v>
      </c>
      <c r="BE293" s="413">
        <f t="shared" si="22"/>
        <v>0.5</v>
      </c>
      <c r="BF293" s="48">
        <f t="shared" si="24"/>
        <v>1</v>
      </c>
    </row>
    <row r="294" spans="1:67" s="2" customFormat="1" ht="96.75" hidden="1" thickBot="1">
      <c r="B294" s="44" t="s">
        <v>333</v>
      </c>
      <c r="C294" s="27" t="s">
        <v>2377</v>
      </c>
      <c r="D294" s="673"/>
      <c r="E294" s="648"/>
      <c r="F294" s="648"/>
      <c r="G294" s="410" t="s">
        <v>2378</v>
      </c>
      <c r="H294" s="410" t="s">
        <v>472</v>
      </c>
      <c r="I294" s="410">
        <v>0.25</v>
      </c>
      <c r="J294" s="410" t="s">
        <v>2379</v>
      </c>
      <c r="K294" s="410" t="s">
        <v>73</v>
      </c>
      <c r="L294" s="410" t="s">
        <v>902</v>
      </c>
      <c r="M294" s="410" t="s">
        <v>2353</v>
      </c>
      <c r="N294" s="410" t="s">
        <v>2354</v>
      </c>
      <c r="O294" s="38">
        <v>44197</v>
      </c>
      <c r="P294" s="38">
        <v>44561</v>
      </c>
      <c r="Q294" s="410">
        <f t="shared" si="25"/>
        <v>0.5</v>
      </c>
      <c r="R294" s="410">
        <v>4</v>
      </c>
      <c r="S294" s="413">
        <f t="shared" si="23"/>
        <v>2.5</v>
      </c>
      <c r="T294" s="410">
        <v>0.25</v>
      </c>
      <c r="U294" s="410">
        <v>0</v>
      </c>
      <c r="V294" s="410" t="s">
        <v>2380</v>
      </c>
      <c r="W294" s="410">
        <v>0</v>
      </c>
      <c r="X294" s="410">
        <f>1/R294</f>
        <v>0.25</v>
      </c>
      <c r="Y294" s="410" t="s">
        <v>2381</v>
      </c>
      <c r="Z294" s="410">
        <v>0</v>
      </c>
      <c r="AA294" s="51">
        <v>0</v>
      </c>
      <c r="AB294" s="51" t="s">
        <v>2382</v>
      </c>
      <c r="AC294" s="410">
        <v>0.25</v>
      </c>
      <c r="AD294" s="51">
        <v>0.25</v>
      </c>
      <c r="AE294" s="51" t="s">
        <v>2383</v>
      </c>
      <c r="AF294" s="410">
        <v>0</v>
      </c>
      <c r="AG294" s="241">
        <v>0</v>
      </c>
      <c r="AH294" s="154" t="s">
        <v>2383</v>
      </c>
      <c r="AI294" s="410">
        <v>0</v>
      </c>
      <c r="AJ294" s="410">
        <v>0</v>
      </c>
      <c r="AK294" s="410" t="s">
        <v>2384</v>
      </c>
      <c r="AL294" s="410">
        <v>1</v>
      </c>
      <c r="AM294" s="410"/>
      <c r="AN294" s="410"/>
      <c r="AO294" s="410">
        <v>0</v>
      </c>
      <c r="AP294" s="410"/>
      <c r="AQ294" s="410"/>
      <c r="AR294" s="410">
        <v>0</v>
      </c>
      <c r="AS294" s="410"/>
      <c r="AT294" s="410"/>
      <c r="AU294" s="410">
        <v>1</v>
      </c>
      <c r="AV294" s="410"/>
      <c r="AW294" s="410"/>
      <c r="AX294" s="410">
        <v>0</v>
      </c>
      <c r="AY294" s="410"/>
      <c r="AZ294" s="410"/>
      <c r="BA294" s="137">
        <v>0</v>
      </c>
      <c r="BB294" s="413"/>
      <c r="BC294" s="413"/>
      <c r="BD294" s="413">
        <f t="shared" si="21"/>
        <v>0.5</v>
      </c>
      <c r="BE294" s="413">
        <f t="shared" si="22"/>
        <v>0.5</v>
      </c>
      <c r="BF294" s="48">
        <f t="shared" si="24"/>
        <v>1</v>
      </c>
    </row>
    <row r="295" spans="1:67" s="2" customFormat="1" ht="60.75" hidden="1" thickBot="1">
      <c r="B295" s="44" t="s">
        <v>333</v>
      </c>
      <c r="C295" s="27" t="s">
        <v>2385</v>
      </c>
      <c r="D295" s="673"/>
      <c r="E295" s="648"/>
      <c r="F295" s="648"/>
      <c r="G295" s="410" t="s">
        <v>2386</v>
      </c>
      <c r="H295" s="410" t="s">
        <v>472</v>
      </c>
      <c r="I295" s="410">
        <v>0.15</v>
      </c>
      <c r="J295" s="410" t="s">
        <v>2359</v>
      </c>
      <c r="K295" s="410" t="s">
        <v>73</v>
      </c>
      <c r="L295" s="410" t="s">
        <v>902</v>
      </c>
      <c r="M295" s="410" t="s">
        <v>2353</v>
      </c>
      <c r="N295" s="410" t="s">
        <v>2354</v>
      </c>
      <c r="O295" s="38">
        <v>44197</v>
      </c>
      <c r="P295" s="38">
        <v>44561</v>
      </c>
      <c r="Q295" s="410">
        <f t="shared" si="25"/>
        <v>0</v>
      </c>
      <c r="R295" s="410">
        <v>20</v>
      </c>
      <c r="S295" s="413">
        <f t="shared" si="23"/>
        <v>20</v>
      </c>
      <c r="T295" s="410">
        <v>0</v>
      </c>
      <c r="U295" s="410">
        <v>0</v>
      </c>
      <c r="V295" s="410" t="s">
        <v>2387</v>
      </c>
      <c r="W295" s="410">
        <v>0</v>
      </c>
      <c r="X295" s="410">
        <v>0</v>
      </c>
      <c r="Y295" s="410" t="s">
        <v>2387</v>
      </c>
      <c r="Z295" s="410">
        <v>0</v>
      </c>
      <c r="AA295" s="51">
        <v>0</v>
      </c>
      <c r="AB295" s="51" t="s">
        <v>2387</v>
      </c>
      <c r="AC295" s="410">
        <v>0</v>
      </c>
      <c r="AD295" s="51">
        <v>0</v>
      </c>
      <c r="AE295" s="51" t="s">
        <v>2387</v>
      </c>
      <c r="AF295" s="410">
        <v>0</v>
      </c>
      <c r="AG295" s="241">
        <v>0</v>
      </c>
      <c r="AH295" s="154" t="s">
        <v>2387</v>
      </c>
      <c r="AI295" s="410">
        <v>0</v>
      </c>
      <c r="AJ295" s="410">
        <v>0</v>
      </c>
      <c r="AK295" s="410" t="s">
        <v>2387</v>
      </c>
      <c r="AL295" s="410">
        <v>0</v>
      </c>
      <c r="AM295" s="410"/>
      <c r="AN295" s="410"/>
      <c r="AO295" s="410">
        <v>10</v>
      </c>
      <c r="AP295" s="410"/>
      <c r="AQ295" s="410"/>
      <c r="AR295" s="410">
        <v>0</v>
      </c>
      <c r="AS295" s="410"/>
      <c r="AT295" s="410"/>
      <c r="AU295" s="410">
        <v>0</v>
      </c>
      <c r="AV295" s="410"/>
      <c r="AW295" s="410"/>
      <c r="AX295" s="410">
        <v>10</v>
      </c>
      <c r="AY295" s="410"/>
      <c r="AZ295" s="410"/>
      <c r="BA295" s="137">
        <v>0</v>
      </c>
      <c r="BB295" s="413"/>
      <c r="BC295" s="413"/>
      <c r="BD295" s="413">
        <f t="shared" si="21"/>
        <v>0</v>
      </c>
      <c r="BE295" s="413">
        <f t="shared" si="22"/>
        <v>0</v>
      </c>
      <c r="BF295" s="48" t="str">
        <f t="shared" si="24"/>
        <v>No programación, No avance</v>
      </c>
    </row>
    <row r="296" spans="1:67" s="2" customFormat="1" ht="132.75" hidden="1" thickBot="1">
      <c r="B296" s="44" t="s">
        <v>333</v>
      </c>
      <c r="C296" s="27" t="s">
        <v>2388</v>
      </c>
      <c r="D296" s="674"/>
      <c r="E296" s="649"/>
      <c r="F296" s="649"/>
      <c r="G296" s="411" t="s">
        <v>2389</v>
      </c>
      <c r="H296" s="411" t="s">
        <v>472</v>
      </c>
      <c r="I296" s="411">
        <v>0.15</v>
      </c>
      <c r="J296" s="411" t="s">
        <v>2379</v>
      </c>
      <c r="K296" s="411" t="s">
        <v>73</v>
      </c>
      <c r="L296" s="411" t="s">
        <v>902</v>
      </c>
      <c r="M296" s="411" t="s">
        <v>2353</v>
      </c>
      <c r="N296" s="411" t="s">
        <v>2354</v>
      </c>
      <c r="O296" s="42">
        <v>44197</v>
      </c>
      <c r="P296" s="42">
        <v>44561</v>
      </c>
      <c r="Q296" s="411">
        <f t="shared" si="25"/>
        <v>1</v>
      </c>
      <c r="R296" s="411">
        <v>1</v>
      </c>
      <c r="S296" s="143">
        <f t="shared" si="23"/>
        <v>1</v>
      </c>
      <c r="T296" s="411">
        <v>0</v>
      </c>
      <c r="U296" s="411">
        <v>1</v>
      </c>
      <c r="V296" s="411" t="s">
        <v>2390</v>
      </c>
      <c r="W296" s="411">
        <v>0</v>
      </c>
      <c r="X296" s="411">
        <v>0</v>
      </c>
      <c r="Y296" s="411" t="s">
        <v>2391</v>
      </c>
      <c r="Z296" s="53">
        <v>1</v>
      </c>
      <c r="AA296" s="176">
        <v>0</v>
      </c>
      <c r="AB296" s="176" t="s">
        <v>2392</v>
      </c>
      <c r="AC296" s="411">
        <v>0</v>
      </c>
      <c r="AD296" s="176">
        <v>0</v>
      </c>
      <c r="AE296" s="176" t="s">
        <v>2392</v>
      </c>
      <c r="AF296" s="411">
        <v>0</v>
      </c>
      <c r="AG296" s="242">
        <v>0</v>
      </c>
      <c r="AH296" s="196" t="s">
        <v>2392</v>
      </c>
      <c r="AI296" s="411">
        <v>0</v>
      </c>
      <c r="AJ296" s="411">
        <v>0</v>
      </c>
      <c r="AK296" s="411" t="s">
        <v>2392</v>
      </c>
      <c r="AL296" s="411">
        <v>0</v>
      </c>
      <c r="AM296" s="411"/>
      <c r="AN296" s="411"/>
      <c r="AO296" s="411">
        <v>0</v>
      </c>
      <c r="AP296" s="411"/>
      <c r="AQ296" s="411"/>
      <c r="AR296" s="411">
        <v>0</v>
      </c>
      <c r="AS296" s="411"/>
      <c r="AT296" s="411"/>
      <c r="AU296" s="411">
        <v>0</v>
      </c>
      <c r="AV296" s="411"/>
      <c r="AW296" s="411"/>
      <c r="AX296" s="411">
        <v>0</v>
      </c>
      <c r="AY296" s="411"/>
      <c r="AZ296" s="411"/>
      <c r="BA296" s="192">
        <v>0</v>
      </c>
      <c r="BB296" s="143"/>
      <c r="BC296" s="143"/>
      <c r="BD296" s="413">
        <f t="shared" si="21"/>
        <v>1</v>
      </c>
      <c r="BE296" s="413">
        <f t="shared" si="22"/>
        <v>1</v>
      </c>
      <c r="BF296" s="52">
        <f t="shared" si="24"/>
        <v>1</v>
      </c>
    </row>
    <row r="297" spans="1:67" s="2" customFormat="1" ht="36" hidden="1" customHeight="1">
      <c r="B297" s="44" t="s">
        <v>335</v>
      </c>
      <c r="C297" s="27" t="s">
        <v>2393</v>
      </c>
      <c r="D297" s="663" t="s">
        <v>27</v>
      </c>
      <c r="E297" s="660" t="s">
        <v>336</v>
      </c>
      <c r="F297" s="660" t="s">
        <v>337</v>
      </c>
      <c r="G297" s="416" t="s">
        <v>2394</v>
      </c>
      <c r="H297" s="416" t="s">
        <v>472</v>
      </c>
      <c r="I297" s="416">
        <v>0.8</v>
      </c>
      <c r="J297" s="416" t="s">
        <v>2395</v>
      </c>
      <c r="K297" s="416" t="s">
        <v>217</v>
      </c>
      <c r="L297" s="416" t="s">
        <v>2396</v>
      </c>
      <c r="M297" s="416" t="s">
        <v>2397</v>
      </c>
      <c r="N297" s="416" t="s">
        <v>2398</v>
      </c>
      <c r="O297" s="74">
        <v>44197</v>
      </c>
      <c r="P297" s="74">
        <v>44561</v>
      </c>
      <c r="Q297" s="416">
        <f t="shared" si="25"/>
        <v>0.19625000000000001</v>
      </c>
      <c r="R297" s="416">
        <v>800000</v>
      </c>
      <c r="S297" s="141">
        <f t="shared" si="23"/>
        <v>400000.5</v>
      </c>
      <c r="T297" s="416">
        <v>0</v>
      </c>
      <c r="U297" s="416">
        <v>0</v>
      </c>
      <c r="V297" s="416"/>
      <c r="W297" s="416">
        <v>0</v>
      </c>
      <c r="X297" s="416">
        <v>0</v>
      </c>
      <c r="Y297" s="416"/>
      <c r="Z297" s="416">
        <v>0</v>
      </c>
      <c r="AA297" s="114">
        <f>20000/R297</f>
        <v>2.5000000000000001E-2</v>
      </c>
      <c r="AB297" s="114" t="s">
        <v>2399</v>
      </c>
      <c r="AC297" s="416">
        <v>0</v>
      </c>
      <c r="AD297" s="79">
        <v>0</v>
      </c>
      <c r="AE297" s="79" t="s">
        <v>2400</v>
      </c>
      <c r="AF297" s="416">
        <v>0</v>
      </c>
      <c r="AG297" s="374">
        <f>137000/R297</f>
        <v>0.17125000000000001</v>
      </c>
      <c r="AH297" s="169" t="s">
        <v>2401</v>
      </c>
      <c r="AI297" s="416">
        <f>400000/R297</f>
        <v>0.5</v>
      </c>
      <c r="AJ297" s="416">
        <v>0</v>
      </c>
      <c r="AK297" s="416" t="s">
        <v>2402</v>
      </c>
      <c r="AL297" s="416">
        <v>0</v>
      </c>
      <c r="AM297" s="416"/>
      <c r="AN297" s="416"/>
      <c r="AO297" s="416">
        <v>0</v>
      </c>
      <c r="AP297" s="416"/>
      <c r="AQ297" s="416"/>
      <c r="AR297" s="416">
        <v>0</v>
      </c>
      <c r="AS297" s="416"/>
      <c r="AT297" s="416"/>
      <c r="AU297" s="416">
        <v>0</v>
      </c>
      <c r="AV297" s="416"/>
      <c r="AW297" s="416"/>
      <c r="AX297" s="416">
        <v>0</v>
      </c>
      <c r="AY297" s="416"/>
      <c r="AZ297" s="416"/>
      <c r="BA297" s="175">
        <v>400000</v>
      </c>
      <c r="BB297" s="141"/>
      <c r="BC297" s="141"/>
      <c r="BD297" s="413">
        <f t="shared" si="21"/>
        <v>0.5</v>
      </c>
      <c r="BE297" s="413">
        <f t="shared" si="22"/>
        <v>0.19625000000000001</v>
      </c>
      <c r="BF297" s="75">
        <f t="shared" si="24"/>
        <v>0.39250000000000002</v>
      </c>
      <c r="BG297" s="2">
        <f>+AVERAGE(BF297:BF315)</f>
        <v>0.88618006993006992</v>
      </c>
    </row>
    <row r="298" spans="1:67" s="2" customFormat="1" ht="168.75" hidden="1" thickBot="1">
      <c r="B298" s="44" t="s">
        <v>335</v>
      </c>
      <c r="C298" s="27" t="s">
        <v>2403</v>
      </c>
      <c r="D298" s="664"/>
      <c r="E298" s="661"/>
      <c r="F298" s="661"/>
      <c r="G298" s="414" t="s">
        <v>2404</v>
      </c>
      <c r="H298" s="414" t="s">
        <v>472</v>
      </c>
      <c r="I298" s="414">
        <v>0.2</v>
      </c>
      <c r="J298" s="414" t="s">
        <v>2395</v>
      </c>
      <c r="K298" s="414" t="s">
        <v>217</v>
      </c>
      <c r="L298" s="414" t="s">
        <v>2396</v>
      </c>
      <c r="M298" s="414" t="s">
        <v>2397</v>
      </c>
      <c r="N298" s="414" t="s">
        <v>2398</v>
      </c>
      <c r="O298" s="59">
        <v>44197</v>
      </c>
      <c r="P298" s="59">
        <v>44561</v>
      </c>
      <c r="Q298" s="414">
        <f t="shared" si="25"/>
        <v>0</v>
      </c>
      <c r="R298" s="414">
        <v>200000</v>
      </c>
      <c r="S298" s="142">
        <f t="shared" si="23"/>
        <v>100000.5</v>
      </c>
      <c r="T298" s="414">
        <v>0</v>
      </c>
      <c r="U298" s="414">
        <v>0</v>
      </c>
      <c r="V298" s="414"/>
      <c r="W298" s="414">
        <v>0</v>
      </c>
      <c r="X298" s="414">
        <v>0</v>
      </c>
      <c r="Y298" s="414"/>
      <c r="Z298" s="414">
        <v>0</v>
      </c>
      <c r="AA298" s="115">
        <v>0</v>
      </c>
      <c r="AB298" s="115" t="s">
        <v>2405</v>
      </c>
      <c r="AC298" s="414">
        <v>0</v>
      </c>
      <c r="AD298" s="61">
        <v>0</v>
      </c>
      <c r="AE298" s="61" t="s">
        <v>2406</v>
      </c>
      <c r="AF298" s="414">
        <v>0</v>
      </c>
      <c r="AG298" s="214">
        <v>0</v>
      </c>
      <c r="AH298" s="180" t="s">
        <v>2407</v>
      </c>
      <c r="AI298" s="414">
        <f>100000/R298</f>
        <v>0.5</v>
      </c>
      <c r="AJ298" s="414">
        <v>0</v>
      </c>
      <c r="AK298" s="414" t="s">
        <v>2408</v>
      </c>
      <c r="AL298" s="414">
        <v>0</v>
      </c>
      <c r="AM298" s="414"/>
      <c r="AN298" s="414"/>
      <c r="AO298" s="414">
        <v>0</v>
      </c>
      <c r="AP298" s="414"/>
      <c r="AQ298" s="414"/>
      <c r="AR298" s="414">
        <v>0</v>
      </c>
      <c r="AS298" s="414"/>
      <c r="AT298" s="414"/>
      <c r="AU298" s="414">
        <v>0</v>
      </c>
      <c r="AV298" s="414"/>
      <c r="AW298" s="414"/>
      <c r="AX298" s="414">
        <v>0</v>
      </c>
      <c r="AY298" s="414"/>
      <c r="AZ298" s="414"/>
      <c r="BA298" s="137">
        <v>100000</v>
      </c>
      <c r="BB298" s="142"/>
      <c r="BC298" s="142"/>
      <c r="BD298" s="413">
        <f t="shared" si="21"/>
        <v>0.5</v>
      </c>
      <c r="BE298" s="413">
        <f t="shared" si="22"/>
        <v>0</v>
      </c>
      <c r="BF298" s="60">
        <f t="shared" si="24"/>
        <v>0</v>
      </c>
    </row>
    <row r="299" spans="1:67" s="2" customFormat="1" ht="54.75" hidden="1" customHeight="1">
      <c r="B299" s="44" t="s">
        <v>339</v>
      </c>
      <c r="C299" s="27" t="s">
        <v>2409</v>
      </c>
      <c r="D299" s="664"/>
      <c r="E299" s="661" t="s">
        <v>340</v>
      </c>
      <c r="F299" s="661" t="s">
        <v>341</v>
      </c>
      <c r="G299" s="414" t="s">
        <v>2410</v>
      </c>
      <c r="H299" s="414" t="s">
        <v>472</v>
      </c>
      <c r="I299" s="414" t="s">
        <v>2411</v>
      </c>
      <c r="J299" s="414" t="s">
        <v>338</v>
      </c>
      <c r="K299" s="414" t="s">
        <v>73</v>
      </c>
      <c r="L299" s="414" t="s">
        <v>2412</v>
      </c>
      <c r="M299" s="414" t="s">
        <v>2413</v>
      </c>
      <c r="N299" s="414" t="s">
        <v>2414</v>
      </c>
      <c r="O299" s="59">
        <v>44197</v>
      </c>
      <c r="P299" s="59">
        <v>44561</v>
      </c>
      <c r="Q299" s="414">
        <f t="shared" si="25"/>
        <v>0.83333333333333326</v>
      </c>
      <c r="R299" s="414">
        <v>12</v>
      </c>
      <c r="S299" s="142">
        <f t="shared" si="23"/>
        <v>3.9166666666666665</v>
      </c>
      <c r="T299" s="414">
        <v>0</v>
      </c>
      <c r="U299" s="414">
        <v>0</v>
      </c>
      <c r="V299" s="414"/>
      <c r="W299" s="414">
        <v>0</v>
      </c>
      <c r="X299" s="414">
        <v>0</v>
      </c>
      <c r="Y299" s="414"/>
      <c r="Z299" s="414">
        <f>3/R299</f>
        <v>0.25</v>
      </c>
      <c r="AA299" s="115">
        <f>+(2/3)*Z299</f>
        <v>0.16666666666666666</v>
      </c>
      <c r="AB299" s="115" t="s">
        <v>2415</v>
      </c>
      <c r="AC299" s="414">
        <f>1/R299</f>
        <v>8.3333333333333329E-2</v>
      </c>
      <c r="AD299" s="61">
        <f>(2/1)*AC299</f>
        <v>0.16666666666666666</v>
      </c>
      <c r="AE299" s="61" t="s">
        <v>2416</v>
      </c>
      <c r="AF299" s="414">
        <f>1/R299</f>
        <v>8.3333333333333329E-2</v>
      </c>
      <c r="AG299" s="214">
        <f>+(4/1)*AF299</f>
        <v>0.33333333333333331</v>
      </c>
      <c r="AH299" s="180" t="s">
        <v>2417</v>
      </c>
      <c r="AI299" s="414">
        <f>6/R299</f>
        <v>0.5</v>
      </c>
      <c r="AJ299" s="414">
        <f>+(2/6)*AI299</f>
        <v>0.16666666666666666</v>
      </c>
      <c r="AK299" s="414" t="s">
        <v>2418</v>
      </c>
      <c r="AL299" s="414">
        <v>0</v>
      </c>
      <c r="AM299" s="414"/>
      <c r="AN299" s="414"/>
      <c r="AO299" s="414">
        <v>0</v>
      </c>
      <c r="AP299" s="414"/>
      <c r="AQ299" s="414"/>
      <c r="AR299" s="414">
        <v>0</v>
      </c>
      <c r="AS299" s="414"/>
      <c r="AT299" s="414"/>
      <c r="AU299" s="414">
        <v>0</v>
      </c>
      <c r="AV299" s="414"/>
      <c r="AW299" s="414"/>
      <c r="AX299" s="414">
        <v>0</v>
      </c>
      <c r="AY299" s="414"/>
      <c r="AZ299" s="414"/>
      <c r="BA299" s="137">
        <v>3</v>
      </c>
      <c r="BB299" s="142"/>
      <c r="BC299" s="142"/>
      <c r="BD299" s="413">
        <f t="shared" si="21"/>
        <v>0.91666666666666663</v>
      </c>
      <c r="BE299" s="413">
        <f t="shared" si="22"/>
        <v>0.83333333333333326</v>
      </c>
      <c r="BF299" s="60">
        <f t="shared" si="24"/>
        <v>0.90909090909090906</v>
      </c>
    </row>
    <row r="300" spans="1:67" s="2" customFormat="1" ht="80.25" hidden="1" customHeight="1">
      <c r="B300" s="44" t="s">
        <v>339</v>
      </c>
      <c r="C300" s="27" t="s">
        <v>2419</v>
      </c>
      <c r="D300" s="664"/>
      <c r="E300" s="661"/>
      <c r="F300" s="661"/>
      <c r="G300" s="414" t="s">
        <v>2420</v>
      </c>
      <c r="H300" s="414" t="s">
        <v>472</v>
      </c>
      <c r="I300" s="414">
        <v>0.5</v>
      </c>
      <c r="J300" s="414" t="s">
        <v>338</v>
      </c>
      <c r="K300" s="414" t="s">
        <v>73</v>
      </c>
      <c r="L300" s="414" t="s">
        <v>2412</v>
      </c>
      <c r="M300" s="414" t="s">
        <v>2421</v>
      </c>
      <c r="N300" s="414" t="s">
        <v>2414</v>
      </c>
      <c r="O300" s="59">
        <v>44197</v>
      </c>
      <c r="P300" s="59">
        <v>44561</v>
      </c>
      <c r="Q300" s="414">
        <f t="shared" si="25"/>
        <v>0.79166666666666663</v>
      </c>
      <c r="R300" s="414">
        <v>24</v>
      </c>
      <c r="S300" s="142">
        <f t="shared" si="23"/>
        <v>12.666666666666668</v>
      </c>
      <c r="T300" s="414">
        <v>0</v>
      </c>
      <c r="U300" s="414">
        <v>0</v>
      </c>
      <c r="V300" s="414"/>
      <c r="W300" s="414">
        <v>0</v>
      </c>
      <c r="X300" s="414">
        <v>0</v>
      </c>
      <c r="Y300" s="414"/>
      <c r="Z300" s="414">
        <f>6/R300</f>
        <v>0.25</v>
      </c>
      <c r="AA300" s="115">
        <f>+Z300</f>
        <v>0.25</v>
      </c>
      <c r="AB300" s="115" t="s">
        <v>2422</v>
      </c>
      <c r="AC300" s="414">
        <f>2/R300</f>
        <v>8.3333333333333329E-2</v>
      </c>
      <c r="AD300" s="61">
        <f>+(3/2)*AC300</f>
        <v>0.125</v>
      </c>
      <c r="AE300" s="61" t="s">
        <v>2423</v>
      </c>
      <c r="AF300" s="414">
        <f>2/R300</f>
        <v>8.3333333333333329E-2</v>
      </c>
      <c r="AG300" s="214">
        <f>+(5/2)*AF300</f>
        <v>0.20833333333333331</v>
      </c>
      <c r="AH300" s="180" t="s">
        <v>2424</v>
      </c>
      <c r="AI300" s="414">
        <f>6/R300</f>
        <v>0.25</v>
      </c>
      <c r="AJ300" s="414">
        <f>+(5/6)*AI300</f>
        <v>0.20833333333333334</v>
      </c>
      <c r="AK300" s="414" t="s">
        <v>2425</v>
      </c>
      <c r="AL300" s="414">
        <v>0</v>
      </c>
      <c r="AM300" s="414"/>
      <c r="AN300" s="414"/>
      <c r="AO300" s="414">
        <v>0</v>
      </c>
      <c r="AP300" s="414"/>
      <c r="AQ300" s="414"/>
      <c r="AR300" s="414">
        <v>6</v>
      </c>
      <c r="AS300" s="414"/>
      <c r="AT300" s="414"/>
      <c r="AU300" s="414">
        <v>0</v>
      </c>
      <c r="AV300" s="414"/>
      <c r="AW300" s="414"/>
      <c r="AX300" s="414">
        <v>0</v>
      </c>
      <c r="AY300" s="414"/>
      <c r="AZ300" s="414"/>
      <c r="BA300" s="137">
        <v>6</v>
      </c>
      <c r="BB300" s="142"/>
      <c r="BC300" s="142"/>
      <c r="BD300" s="413">
        <f t="shared" si="21"/>
        <v>0.66666666666666663</v>
      </c>
      <c r="BE300" s="413">
        <f t="shared" si="22"/>
        <v>0.79166666666666663</v>
      </c>
      <c r="BF300" s="60">
        <f t="shared" si="24"/>
        <v>1.1875</v>
      </c>
    </row>
    <row r="301" spans="1:67" s="2" customFormat="1" ht="80.25" hidden="1" customHeight="1">
      <c r="B301" s="44"/>
      <c r="C301" s="27"/>
      <c r="D301" s="664"/>
      <c r="E301" s="661" t="s">
        <v>342</v>
      </c>
      <c r="F301" s="661" t="s">
        <v>343</v>
      </c>
      <c r="G301" s="414" t="s">
        <v>2426</v>
      </c>
      <c r="H301" s="414" t="s">
        <v>472</v>
      </c>
      <c r="I301" s="414">
        <v>0.5</v>
      </c>
      <c r="J301" s="414" t="s">
        <v>346</v>
      </c>
      <c r="K301" s="414" t="s">
        <v>79</v>
      </c>
      <c r="L301" s="414" t="s">
        <v>2427</v>
      </c>
      <c r="M301" s="414" t="s">
        <v>2428</v>
      </c>
      <c r="N301" s="414" t="s">
        <v>2414</v>
      </c>
      <c r="O301" s="59">
        <v>44197</v>
      </c>
      <c r="P301" s="59">
        <v>44561</v>
      </c>
      <c r="Q301" s="414">
        <f t="shared" si="25"/>
        <v>0</v>
      </c>
      <c r="R301" s="414">
        <v>1</v>
      </c>
      <c r="S301" s="142"/>
      <c r="T301" s="414">
        <v>0</v>
      </c>
      <c r="U301" s="414">
        <v>0</v>
      </c>
      <c r="V301" s="414"/>
      <c r="W301" s="414">
        <v>0</v>
      </c>
      <c r="X301" s="283">
        <v>0</v>
      </c>
      <c r="Y301" s="414"/>
      <c r="Z301" s="414">
        <v>0</v>
      </c>
      <c r="AA301" s="298">
        <v>0</v>
      </c>
      <c r="AB301" s="115"/>
      <c r="AC301" s="414">
        <v>0</v>
      </c>
      <c r="AD301" s="283">
        <v>0</v>
      </c>
      <c r="AE301" s="414"/>
      <c r="AF301" s="414">
        <v>0</v>
      </c>
      <c r="AG301" s="278">
        <v>0</v>
      </c>
      <c r="AH301" s="414"/>
      <c r="AI301" s="414">
        <v>0</v>
      </c>
      <c r="AJ301" s="414">
        <v>0</v>
      </c>
      <c r="AK301" s="414" t="s">
        <v>2429</v>
      </c>
      <c r="AL301" s="414">
        <v>0</v>
      </c>
      <c r="AM301" s="414"/>
      <c r="AN301" s="414"/>
      <c r="AO301" s="414">
        <v>0</v>
      </c>
      <c r="AP301" s="414"/>
      <c r="AQ301" s="414"/>
      <c r="AR301" s="414">
        <v>0</v>
      </c>
      <c r="AS301" s="414"/>
      <c r="AT301" s="414"/>
      <c r="AU301" s="414">
        <v>1</v>
      </c>
      <c r="AV301" s="414"/>
      <c r="AW301" s="414"/>
      <c r="AX301" s="414">
        <v>0</v>
      </c>
      <c r="AY301" s="414"/>
      <c r="AZ301" s="414"/>
      <c r="BA301" s="137">
        <v>0</v>
      </c>
      <c r="BB301" s="142"/>
      <c r="BC301" s="142"/>
      <c r="BD301" s="413">
        <f t="shared" si="21"/>
        <v>0</v>
      </c>
      <c r="BE301" s="413">
        <f t="shared" si="22"/>
        <v>0</v>
      </c>
      <c r="BF301" s="60" t="str">
        <f t="shared" si="24"/>
        <v>No programación, No avance</v>
      </c>
    </row>
    <row r="302" spans="1:67" s="2" customFormat="1" ht="80.25" hidden="1" customHeight="1">
      <c r="B302" s="44"/>
      <c r="C302" s="27"/>
      <c r="D302" s="664"/>
      <c r="E302" s="661"/>
      <c r="F302" s="661"/>
      <c r="G302" s="414" t="s">
        <v>2430</v>
      </c>
      <c r="H302" s="414" t="s">
        <v>472</v>
      </c>
      <c r="I302" s="414">
        <v>0.5</v>
      </c>
      <c r="J302" s="414" t="s">
        <v>346</v>
      </c>
      <c r="K302" s="414" t="s">
        <v>73</v>
      </c>
      <c r="L302" s="414" t="s">
        <v>2431</v>
      </c>
      <c r="M302" s="414" t="s">
        <v>2431</v>
      </c>
      <c r="N302" s="414" t="s">
        <v>2414</v>
      </c>
      <c r="O302" s="59">
        <v>44197</v>
      </c>
      <c r="P302" s="59">
        <v>44561</v>
      </c>
      <c r="Q302" s="414">
        <f t="shared" si="25"/>
        <v>0</v>
      </c>
      <c r="R302" s="414">
        <v>1</v>
      </c>
      <c r="S302" s="142"/>
      <c r="T302" s="414">
        <v>0</v>
      </c>
      <c r="U302" s="414">
        <v>0</v>
      </c>
      <c r="V302" s="414"/>
      <c r="W302" s="414">
        <v>0</v>
      </c>
      <c r="X302" s="414">
        <v>0</v>
      </c>
      <c r="Y302" s="414"/>
      <c r="Z302" s="414">
        <v>0</v>
      </c>
      <c r="AA302" s="115">
        <v>0</v>
      </c>
      <c r="AB302" s="115"/>
      <c r="AC302" s="414">
        <v>0</v>
      </c>
      <c r="AD302" s="414">
        <v>0</v>
      </c>
      <c r="AE302" s="414"/>
      <c r="AF302" s="414">
        <v>0</v>
      </c>
      <c r="AG302" s="414">
        <v>0</v>
      </c>
      <c r="AH302" s="414"/>
      <c r="AI302" s="414">
        <v>0</v>
      </c>
      <c r="AJ302" s="414">
        <v>0</v>
      </c>
      <c r="AK302" s="414" t="s">
        <v>2432</v>
      </c>
      <c r="AL302" s="414">
        <v>0</v>
      </c>
      <c r="AM302" s="414"/>
      <c r="AN302" s="414"/>
      <c r="AO302" s="414">
        <v>0</v>
      </c>
      <c r="AP302" s="414"/>
      <c r="AQ302" s="414"/>
      <c r="AR302" s="414">
        <v>0</v>
      </c>
      <c r="AS302" s="414"/>
      <c r="AT302" s="414"/>
      <c r="AU302" s="414">
        <v>1</v>
      </c>
      <c r="AV302" s="414"/>
      <c r="AW302" s="414"/>
      <c r="AX302" s="414">
        <v>0</v>
      </c>
      <c r="AY302" s="414"/>
      <c r="AZ302" s="414"/>
      <c r="BA302" s="137">
        <v>0</v>
      </c>
      <c r="BB302" s="142"/>
      <c r="BC302" s="142"/>
      <c r="BD302" s="413">
        <f t="shared" si="21"/>
        <v>0</v>
      </c>
      <c r="BE302" s="413">
        <f t="shared" si="22"/>
        <v>0</v>
      </c>
      <c r="BF302" s="60" t="str">
        <f t="shared" si="24"/>
        <v>No programación, No avance</v>
      </c>
    </row>
    <row r="303" spans="1:67" s="2" customFormat="1" ht="80.25" hidden="1" customHeight="1">
      <c r="B303" s="44"/>
      <c r="C303" s="27"/>
      <c r="D303" s="664"/>
      <c r="E303" s="414" t="s">
        <v>344</v>
      </c>
      <c r="F303" s="414" t="s">
        <v>345</v>
      </c>
      <c r="G303" s="414" t="s">
        <v>2433</v>
      </c>
      <c r="H303" s="414" t="s">
        <v>472</v>
      </c>
      <c r="I303" s="414">
        <v>1</v>
      </c>
      <c r="J303" s="414" t="s">
        <v>2434</v>
      </c>
      <c r="K303" s="414" t="s">
        <v>73</v>
      </c>
      <c r="L303" s="414" t="s">
        <v>2435</v>
      </c>
      <c r="M303" s="414" t="s">
        <v>2435</v>
      </c>
      <c r="N303" s="414" t="s">
        <v>2414</v>
      </c>
      <c r="O303" s="59">
        <v>44197</v>
      </c>
      <c r="P303" s="59">
        <v>44561</v>
      </c>
      <c r="Q303" s="414">
        <f t="shared" si="25"/>
        <v>1</v>
      </c>
      <c r="R303" s="414">
        <v>6</v>
      </c>
      <c r="S303" s="142"/>
      <c r="T303" s="414">
        <v>0</v>
      </c>
      <c r="U303" s="414">
        <v>0</v>
      </c>
      <c r="V303" s="414"/>
      <c r="W303" s="414">
        <v>0</v>
      </c>
      <c r="X303" s="414">
        <v>0</v>
      </c>
      <c r="Y303" s="414"/>
      <c r="Z303" s="414">
        <v>0</v>
      </c>
      <c r="AA303" s="115">
        <v>0</v>
      </c>
      <c r="AB303" s="115"/>
      <c r="AC303" s="414">
        <f>2/R303</f>
        <v>0.33333333333333331</v>
      </c>
      <c r="AD303" s="414">
        <f>+(2/2)*AC303</f>
        <v>0.33333333333333331</v>
      </c>
      <c r="AE303" s="414" t="s">
        <v>2436</v>
      </c>
      <c r="AF303" s="414">
        <f>2/R303</f>
        <v>0.33333333333333331</v>
      </c>
      <c r="AG303" s="414">
        <f>+(2/2)*AF303</f>
        <v>0.33333333333333331</v>
      </c>
      <c r="AH303" s="414" t="s">
        <v>2437</v>
      </c>
      <c r="AI303" s="414">
        <f>2/R303</f>
        <v>0.33333333333333331</v>
      </c>
      <c r="AJ303" s="414">
        <f>1*AI303</f>
        <v>0.33333333333333331</v>
      </c>
      <c r="AK303" s="414" t="s">
        <v>2438</v>
      </c>
      <c r="AL303" s="414">
        <v>0</v>
      </c>
      <c r="AM303" s="414"/>
      <c r="AN303" s="414"/>
      <c r="AO303" s="414">
        <v>0</v>
      </c>
      <c r="AP303" s="414"/>
      <c r="AQ303" s="414"/>
      <c r="AR303" s="414">
        <v>0</v>
      </c>
      <c r="AS303" s="414"/>
      <c r="AT303" s="414"/>
      <c r="AU303" s="414">
        <v>0</v>
      </c>
      <c r="AV303" s="414"/>
      <c r="AW303" s="414"/>
      <c r="AX303" s="414">
        <v>0</v>
      </c>
      <c r="AY303" s="414"/>
      <c r="AZ303" s="414"/>
      <c r="BA303" s="137">
        <v>0</v>
      </c>
      <c r="BB303" s="142"/>
      <c r="BC303" s="142"/>
      <c r="BD303" s="413">
        <f t="shared" si="21"/>
        <v>1</v>
      </c>
      <c r="BE303" s="413">
        <f t="shared" si="22"/>
        <v>1</v>
      </c>
      <c r="BF303" s="60">
        <f t="shared" si="24"/>
        <v>1</v>
      </c>
    </row>
    <row r="304" spans="1:67" s="2" customFormat="1" ht="33.75" hidden="1" customHeight="1">
      <c r="B304" s="44"/>
      <c r="C304" s="27"/>
      <c r="D304" s="664"/>
      <c r="E304" s="661" t="s">
        <v>347</v>
      </c>
      <c r="F304" s="661" t="s">
        <v>348</v>
      </c>
      <c r="G304" s="414" t="s">
        <v>2439</v>
      </c>
      <c r="H304" s="414" t="s">
        <v>472</v>
      </c>
      <c r="I304" s="414">
        <v>0.25</v>
      </c>
      <c r="J304" s="414" t="s">
        <v>2434</v>
      </c>
      <c r="K304" s="414" t="s">
        <v>73</v>
      </c>
      <c r="L304" s="414" t="s">
        <v>2440</v>
      </c>
      <c r="M304" s="414" t="s">
        <v>2440</v>
      </c>
      <c r="N304" s="414" t="s">
        <v>2414</v>
      </c>
      <c r="O304" s="59">
        <v>44197</v>
      </c>
      <c r="P304" s="59">
        <v>44561</v>
      </c>
      <c r="Q304" s="414">
        <f t="shared" si="25"/>
        <v>1</v>
      </c>
      <c r="R304" s="414">
        <v>1</v>
      </c>
      <c r="S304" s="142"/>
      <c r="T304" s="414">
        <v>0</v>
      </c>
      <c r="U304" s="414">
        <v>0</v>
      </c>
      <c r="V304" s="414"/>
      <c r="W304" s="414">
        <v>0</v>
      </c>
      <c r="X304" s="414">
        <v>0</v>
      </c>
      <c r="Y304" s="414"/>
      <c r="Z304" s="414">
        <v>0</v>
      </c>
      <c r="AA304" s="115">
        <v>0</v>
      </c>
      <c r="AB304" s="115"/>
      <c r="AC304" s="414">
        <v>0</v>
      </c>
      <c r="AD304" s="414">
        <v>0</v>
      </c>
      <c r="AE304" s="414" t="s">
        <v>2441</v>
      </c>
      <c r="AF304" s="414">
        <v>1</v>
      </c>
      <c r="AG304" s="414">
        <v>1</v>
      </c>
      <c r="AH304" s="414"/>
      <c r="AI304" s="414">
        <v>0</v>
      </c>
      <c r="AJ304" s="414">
        <v>0</v>
      </c>
      <c r="AK304" s="414" t="s">
        <v>2442</v>
      </c>
      <c r="AL304" s="414">
        <v>0</v>
      </c>
      <c r="AM304" s="414"/>
      <c r="AN304" s="414"/>
      <c r="AO304" s="414">
        <v>0</v>
      </c>
      <c r="AP304" s="414"/>
      <c r="AQ304" s="414"/>
      <c r="AR304" s="414">
        <v>0</v>
      </c>
      <c r="AS304" s="414"/>
      <c r="AT304" s="414"/>
      <c r="AU304" s="414">
        <v>0</v>
      </c>
      <c r="AV304" s="414"/>
      <c r="AW304" s="414"/>
      <c r="AX304" s="414">
        <v>0</v>
      </c>
      <c r="AY304" s="414"/>
      <c r="AZ304" s="414"/>
      <c r="BA304" s="137">
        <v>0</v>
      </c>
      <c r="BB304" s="142"/>
      <c r="BC304" s="142"/>
      <c r="BD304" s="413">
        <f t="shared" si="21"/>
        <v>1</v>
      </c>
      <c r="BE304" s="413">
        <f t="shared" si="22"/>
        <v>1</v>
      </c>
      <c r="BF304" s="60">
        <f t="shared" si="24"/>
        <v>1</v>
      </c>
    </row>
    <row r="305" spans="2:59" s="2" customFormat="1" ht="33.75" hidden="1" customHeight="1">
      <c r="B305" s="44"/>
      <c r="C305" s="27"/>
      <c r="D305" s="664"/>
      <c r="E305" s="661"/>
      <c r="F305" s="661"/>
      <c r="G305" s="414" t="s">
        <v>2443</v>
      </c>
      <c r="H305" s="414" t="s">
        <v>472</v>
      </c>
      <c r="I305" s="414">
        <v>0.25</v>
      </c>
      <c r="J305" s="414" t="s">
        <v>2434</v>
      </c>
      <c r="K305" s="414" t="s">
        <v>73</v>
      </c>
      <c r="L305" s="414" t="s">
        <v>2440</v>
      </c>
      <c r="M305" s="414" t="s">
        <v>2440</v>
      </c>
      <c r="N305" s="414" t="s">
        <v>2414</v>
      </c>
      <c r="O305" s="59">
        <v>44197</v>
      </c>
      <c r="P305" s="59">
        <v>44561</v>
      </c>
      <c r="Q305" s="414">
        <f t="shared" si="25"/>
        <v>1</v>
      </c>
      <c r="R305" s="414">
        <v>1</v>
      </c>
      <c r="S305" s="142"/>
      <c r="T305" s="414">
        <v>0</v>
      </c>
      <c r="U305" s="414">
        <v>0</v>
      </c>
      <c r="V305" s="414"/>
      <c r="W305" s="414">
        <v>0</v>
      </c>
      <c r="X305" s="414">
        <v>0</v>
      </c>
      <c r="Y305" s="414"/>
      <c r="Z305" s="414">
        <v>0</v>
      </c>
      <c r="AA305" s="115">
        <v>0</v>
      </c>
      <c r="AB305" s="115"/>
      <c r="AC305" s="414">
        <v>0</v>
      </c>
      <c r="AD305" s="414">
        <v>0</v>
      </c>
      <c r="AE305" s="414" t="s">
        <v>2441</v>
      </c>
      <c r="AF305" s="414">
        <v>1</v>
      </c>
      <c r="AG305" s="414">
        <v>1</v>
      </c>
      <c r="AH305" s="414"/>
      <c r="AI305" s="414">
        <v>0</v>
      </c>
      <c r="AJ305" s="414">
        <v>0</v>
      </c>
      <c r="AK305" s="414" t="s">
        <v>2442</v>
      </c>
      <c r="AL305" s="414">
        <v>0</v>
      </c>
      <c r="AM305" s="414"/>
      <c r="AN305" s="414"/>
      <c r="AO305" s="414">
        <v>0</v>
      </c>
      <c r="AP305" s="414"/>
      <c r="AQ305" s="414"/>
      <c r="AR305" s="414">
        <v>0</v>
      </c>
      <c r="AS305" s="414"/>
      <c r="AT305" s="414"/>
      <c r="AU305" s="414">
        <v>0</v>
      </c>
      <c r="AV305" s="414"/>
      <c r="AW305" s="414"/>
      <c r="AX305" s="414">
        <v>0</v>
      </c>
      <c r="AY305" s="414"/>
      <c r="AZ305" s="414"/>
      <c r="BA305" s="137">
        <v>0</v>
      </c>
      <c r="BB305" s="142"/>
      <c r="BC305" s="142"/>
      <c r="BD305" s="413">
        <f t="shared" si="21"/>
        <v>1</v>
      </c>
      <c r="BE305" s="413">
        <f t="shared" si="22"/>
        <v>1</v>
      </c>
      <c r="BF305" s="60">
        <f t="shared" si="24"/>
        <v>1</v>
      </c>
    </row>
    <row r="306" spans="2:59" s="2" customFormat="1" ht="33.75" hidden="1" customHeight="1">
      <c r="B306" s="44"/>
      <c r="C306" s="27"/>
      <c r="D306" s="664"/>
      <c r="E306" s="661"/>
      <c r="F306" s="661"/>
      <c r="G306" s="414" t="s">
        <v>2444</v>
      </c>
      <c r="H306" s="414" t="s">
        <v>472</v>
      </c>
      <c r="I306" s="414">
        <v>0.25</v>
      </c>
      <c r="J306" s="414" t="s">
        <v>2434</v>
      </c>
      <c r="K306" s="414" t="s">
        <v>73</v>
      </c>
      <c r="L306" s="414" t="s">
        <v>2440</v>
      </c>
      <c r="M306" s="414" t="s">
        <v>2440</v>
      </c>
      <c r="N306" s="414" t="s">
        <v>2414</v>
      </c>
      <c r="O306" s="59">
        <v>44197</v>
      </c>
      <c r="P306" s="59">
        <v>44561</v>
      </c>
      <c r="Q306" s="414">
        <f t="shared" si="25"/>
        <v>0</v>
      </c>
      <c r="R306" s="414">
        <v>1</v>
      </c>
      <c r="S306" s="142"/>
      <c r="T306" s="414">
        <v>0</v>
      </c>
      <c r="U306" s="414">
        <v>0</v>
      </c>
      <c r="V306" s="414"/>
      <c r="W306" s="414">
        <v>0</v>
      </c>
      <c r="X306" s="414">
        <v>0</v>
      </c>
      <c r="Y306" s="414"/>
      <c r="Z306" s="414">
        <v>0</v>
      </c>
      <c r="AA306" s="115">
        <v>0</v>
      </c>
      <c r="AB306" s="115"/>
      <c r="AC306" s="414">
        <v>0</v>
      </c>
      <c r="AD306" s="414">
        <v>0</v>
      </c>
      <c r="AE306" s="414"/>
      <c r="AF306" s="414">
        <v>0</v>
      </c>
      <c r="AG306" s="414">
        <v>0</v>
      </c>
      <c r="AH306" s="414"/>
      <c r="AI306" s="414">
        <v>0</v>
      </c>
      <c r="AJ306" s="414">
        <v>0</v>
      </c>
      <c r="AK306" s="414" t="s">
        <v>2445</v>
      </c>
      <c r="AL306" s="414">
        <v>1</v>
      </c>
      <c r="AM306" s="414"/>
      <c r="AN306" s="414"/>
      <c r="AO306" s="414">
        <v>0</v>
      </c>
      <c r="AP306" s="414"/>
      <c r="AQ306" s="414"/>
      <c r="AR306" s="414">
        <v>0</v>
      </c>
      <c r="AS306" s="414"/>
      <c r="AT306" s="414"/>
      <c r="AU306" s="414">
        <v>0</v>
      </c>
      <c r="AV306" s="414"/>
      <c r="AW306" s="414"/>
      <c r="AX306" s="414">
        <v>0</v>
      </c>
      <c r="AY306" s="414"/>
      <c r="AZ306" s="414"/>
      <c r="BA306" s="137">
        <v>0</v>
      </c>
      <c r="BB306" s="142"/>
      <c r="BC306" s="142"/>
      <c r="BD306" s="413">
        <f t="shared" ref="BD306:BD339" si="26">+T306+W306+Z306+AC306+AF306+AI306</f>
        <v>0</v>
      </c>
      <c r="BE306" s="413">
        <f t="shared" ref="BE306:BE339" si="27">+U306+X306+AA306+AD306+AG306+AJ306</f>
        <v>0</v>
      </c>
      <c r="BF306" s="60" t="str">
        <f t="shared" si="24"/>
        <v>No programación, No avance</v>
      </c>
    </row>
    <row r="307" spans="2:59" s="2" customFormat="1" ht="33.75" hidden="1" customHeight="1">
      <c r="B307" s="44"/>
      <c r="C307" s="27"/>
      <c r="D307" s="664"/>
      <c r="E307" s="661"/>
      <c r="F307" s="661"/>
      <c r="G307" s="414" t="s">
        <v>2446</v>
      </c>
      <c r="H307" s="414" t="s">
        <v>472</v>
      </c>
      <c r="I307" s="414">
        <v>0.25</v>
      </c>
      <c r="J307" s="414" t="s">
        <v>2434</v>
      </c>
      <c r="K307" s="414" t="s">
        <v>73</v>
      </c>
      <c r="L307" s="414" t="s">
        <v>2440</v>
      </c>
      <c r="M307" s="414" t="s">
        <v>2440</v>
      </c>
      <c r="N307" s="414" t="s">
        <v>2414</v>
      </c>
      <c r="O307" s="59">
        <v>44197</v>
      </c>
      <c r="P307" s="59">
        <v>44561</v>
      </c>
      <c r="Q307" s="414">
        <f t="shared" si="25"/>
        <v>0</v>
      </c>
      <c r="R307" s="414">
        <v>1</v>
      </c>
      <c r="S307" s="142"/>
      <c r="T307" s="414">
        <v>0</v>
      </c>
      <c r="U307" s="414">
        <v>0</v>
      </c>
      <c r="V307" s="414"/>
      <c r="W307" s="414">
        <v>0</v>
      </c>
      <c r="X307" s="414">
        <v>0</v>
      </c>
      <c r="Y307" s="414"/>
      <c r="Z307" s="414">
        <v>0</v>
      </c>
      <c r="AA307" s="115">
        <v>0</v>
      </c>
      <c r="AB307" s="115"/>
      <c r="AC307" s="414">
        <v>0</v>
      </c>
      <c r="AD307" s="414">
        <v>0</v>
      </c>
      <c r="AE307" s="414"/>
      <c r="AF307" s="414">
        <v>0</v>
      </c>
      <c r="AG307" s="414">
        <v>0</v>
      </c>
      <c r="AH307" s="414"/>
      <c r="AI307" s="414">
        <v>0</v>
      </c>
      <c r="AJ307" s="414">
        <v>0</v>
      </c>
      <c r="AK307" s="414" t="s">
        <v>2445</v>
      </c>
      <c r="AL307" s="414">
        <v>0</v>
      </c>
      <c r="AM307" s="414"/>
      <c r="AN307" s="414"/>
      <c r="AO307" s="414">
        <v>0</v>
      </c>
      <c r="AP307" s="414"/>
      <c r="AQ307" s="414"/>
      <c r="AR307" s="414">
        <v>0</v>
      </c>
      <c r="AS307" s="414"/>
      <c r="AT307" s="414"/>
      <c r="AU307" s="414">
        <v>1</v>
      </c>
      <c r="AV307" s="414"/>
      <c r="AW307" s="414"/>
      <c r="AX307" s="414">
        <v>0</v>
      </c>
      <c r="AY307" s="414"/>
      <c r="AZ307" s="414"/>
      <c r="BA307" s="137">
        <v>0</v>
      </c>
      <c r="BB307" s="142"/>
      <c r="BC307" s="142"/>
      <c r="BD307" s="413">
        <f t="shared" si="26"/>
        <v>0</v>
      </c>
      <c r="BE307" s="413">
        <f t="shared" si="27"/>
        <v>0</v>
      </c>
      <c r="BF307" s="60" t="str">
        <f t="shared" si="24"/>
        <v>No programación, No avance</v>
      </c>
    </row>
    <row r="308" spans="2:59" s="2" customFormat="1" ht="80.25" hidden="1" customHeight="1">
      <c r="B308" s="44"/>
      <c r="C308" s="27"/>
      <c r="D308" s="664"/>
      <c r="E308" s="414" t="s">
        <v>349</v>
      </c>
      <c r="F308" s="414" t="s">
        <v>350</v>
      </c>
      <c r="G308" s="414" t="s">
        <v>2447</v>
      </c>
      <c r="H308" s="414" t="s">
        <v>472</v>
      </c>
      <c r="I308" s="414">
        <v>1</v>
      </c>
      <c r="J308" s="414" t="s">
        <v>2434</v>
      </c>
      <c r="K308" s="414" t="s">
        <v>73</v>
      </c>
      <c r="L308" s="414" t="s">
        <v>2448</v>
      </c>
      <c r="M308" s="414" t="s">
        <v>2449</v>
      </c>
      <c r="N308" s="414" t="s">
        <v>2414</v>
      </c>
      <c r="O308" s="59">
        <v>44197</v>
      </c>
      <c r="P308" s="59">
        <v>44561</v>
      </c>
      <c r="Q308" s="414">
        <f t="shared" si="25"/>
        <v>0</v>
      </c>
      <c r="R308" s="414">
        <v>3</v>
      </c>
      <c r="S308" s="142"/>
      <c r="T308" s="414">
        <v>0</v>
      </c>
      <c r="U308" s="414">
        <v>0</v>
      </c>
      <c r="V308" s="414"/>
      <c r="W308" s="414">
        <v>0</v>
      </c>
      <c r="X308" s="414">
        <v>0</v>
      </c>
      <c r="Y308" s="414"/>
      <c r="Z308" s="414">
        <v>0</v>
      </c>
      <c r="AA308" s="115">
        <v>0</v>
      </c>
      <c r="AB308" s="115"/>
      <c r="AC308" s="414">
        <v>0</v>
      </c>
      <c r="AD308" s="414">
        <v>0</v>
      </c>
      <c r="AE308" s="414"/>
      <c r="AF308" s="414">
        <v>0</v>
      </c>
      <c r="AG308" s="414">
        <v>0</v>
      </c>
      <c r="AH308" s="414"/>
      <c r="AI308" s="414">
        <v>0</v>
      </c>
      <c r="AJ308" s="414">
        <v>0</v>
      </c>
      <c r="AK308" s="414" t="s">
        <v>2450</v>
      </c>
      <c r="AL308" s="414">
        <v>1</v>
      </c>
      <c r="AM308" s="414"/>
      <c r="AN308" s="414"/>
      <c r="AO308" s="414">
        <v>0</v>
      </c>
      <c r="AP308" s="414"/>
      <c r="AQ308" s="414"/>
      <c r="AR308" s="414">
        <v>0</v>
      </c>
      <c r="AS308" s="414"/>
      <c r="AT308" s="414"/>
      <c r="AU308" s="414">
        <v>1</v>
      </c>
      <c r="AV308" s="414"/>
      <c r="AW308" s="414"/>
      <c r="AX308" s="414">
        <v>0</v>
      </c>
      <c r="AY308" s="414"/>
      <c r="AZ308" s="414"/>
      <c r="BA308" s="137">
        <v>1</v>
      </c>
      <c r="BB308" s="142"/>
      <c r="BC308" s="142"/>
      <c r="BD308" s="413">
        <f t="shared" si="26"/>
        <v>0</v>
      </c>
      <c r="BE308" s="413">
        <f t="shared" si="27"/>
        <v>0</v>
      </c>
      <c r="BF308" s="60" t="str">
        <f t="shared" si="24"/>
        <v>No programación, No avance</v>
      </c>
    </row>
    <row r="309" spans="2:59" s="2" customFormat="1" ht="56.25" hidden="1" customHeight="1">
      <c r="B309" s="44"/>
      <c r="C309" s="27"/>
      <c r="D309" s="664"/>
      <c r="E309" s="661" t="s">
        <v>351</v>
      </c>
      <c r="F309" s="661" t="s">
        <v>352</v>
      </c>
      <c r="G309" s="414" t="s">
        <v>2451</v>
      </c>
      <c r="H309" s="414" t="s">
        <v>472</v>
      </c>
      <c r="I309" s="414">
        <v>0.45</v>
      </c>
      <c r="J309" s="414" t="s">
        <v>2452</v>
      </c>
      <c r="K309" s="414" t="s">
        <v>79</v>
      </c>
      <c r="L309" s="414" t="s">
        <v>2453</v>
      </c>
      <c r="M309" s="414" t="s">
        <v>2453</v>
      </c>
      <c r="N309" s="414" t="s">
        <v>2414</v>
      </c>
      <c r="O309" s="59">
        <v>44197</v>
      </c>
      <c r="P309" s="59">
        <v>44561</v>
      </c>
      <c r="Q309" s="414">
        <f t="shared" si="25"/>
        <v>1</v>
      </c>
      <c r="R309" s="414">
        <v>1</v>
      </c>
      <c r="S309" s="142"/>
      <c r="T309" s="414">
        <v>0</v>
      </c>
      <c r="U309" s="414">
        <v>0</v>
      </c>
      <c r="V309" s="414"/>
      <c r="W309" s="414">
        <v>0</v>
      </c>
      <c r="X309" s="283">
        <v>0</v>
      </c>
      <c r="Y309" s="414"/>
      <c r="Z309" s="414">
        <v>1</v>
      </c>
      <c r="AA309" s="283">
        <v>1</v>
      </c>
      <c r="AB309" s="115" t="s">
        <v>2454</v>
      </c>
      <c r="AC309" s="414">
        <v>0</v>
      </c>
      <c r="AD309" s="283">
        <v>0</v>
      </c>
      <c r="AE309" s="414"/>
      <c r="AF309" s="414">
        <v>0</v>
      </c>
      <c r="AG309" s="278">
        <v>0</v>
      </c>
      <c r="AH309" s="414"/>
      <c r="AI309" s="414">
        <v>0</v>
      </c>
      <c r="AJ309" s="414">
        <v>0</v>
      </c>
      <c r="AK309" s="414" t="s">
        <v>2455</v>
      </c>
      <c r="AL309" s="414">
        <v>0</v>
      </c>
      <c r="AM309" s="414"/>
      <c r="AN309" s="414"/>
      <c r="AO309" s="414">
        <v>0</v>
      </c>
      <c r="AP309" s="414"/>
      <c r="AQ309" s="414"/>
      <c r="AR309" s="414">
        <v>0</v>
      </c>
      <c r="AS309" s="414"/>
      <c r="AT309" s="414"/>
      <c r="AU309" s="414">
        <v>0</v>
      </c>
      <c r="AV309" s="414"/>
      <c r="AW309" s="414"/>
      <c r="AX309" s="414">
        <v>0</v>
      </c>
      <c r="AY309" s="414"/>
      <c r="AZ309" s="414"/>
      <c r="BA309" s="137">
        <v>0</v>
      </c>
      <c r="BB309" s="142"/>
      <c r="BC309" s="142"/>
      <c r="BD309" s="413">
        <f t="shared" si="26"/>
        <v>1</v>
      </c>
      <c r="BE309" s="413">
        <f t="shared" si="27"/>
        <v>1</v>
      </c>
      <c r="BF309" s="60">
        <f t="shared" si="24"/>
        <v>1</v>
      </c>
    </row>
    <row r="310" spans="2:59" s="2" customFormat="1" ht="56.25" hidden="1" customHeight="1">
      <c r="B310" s="44"/>
      <c r="C310" s="27"/>
      <c r="D310" s="664"/>
      <c r="E310" s="661"/>
      <c r="F310" s="661"/>
      <c r="G310" s="414" t="s">
        <v>2456</v>
      </c>
      <c r="H310" s="414" t="s">
        <v>472</v>
      </c>
      <c r="I310" s="414">
        <v>0.45</v>
      </c>
      <c r="J310" s="414" t="s">
        <v>2452</v>
      </c>
      <c r="K310" s="414" t="s">
        <v>79</v>
      </c>
      <c r="L310" s="414" t="s">
        <v>2457</v>
      </c>
      <c r="M310" s="414" t="s">
        <v>2457</v>
      </c>
      <c r="N310" s="414" t="s">
        <v>2414</v>
      </c>
      <c r="O310" s="59">
        <v>44197</v>
      </c>
      <c r="P310" s="59">
        <v>44561</v>
      </c>
      <c r="Q310" s="414">
        <f t="shared" si="25"/>
        <v>1</v>
      </c>
      <c r="R310" s="414">
        <v>1</v>
      </c>
      <c r="S310" s="142"/>
      <c r="T310" s="414">
        <v>0</v>
      </c>
      <c r="U310" s="414">
        <v>0</v>
      </c>
      <c r="V310" s="414"/>
      <c r="W310" s="414">
        <v>0</v>
      </c>
      <c r="X310" s="283">
        <v>0</v>
      </c>
      <c r="Y310" s="414"/>
      <c r="Z310" s="414">
        <v>1</v>
      </c>
      <c r="AA310" s="283">
        <v>1</v>
      </c>
      <c r="AB310" s="115" t="s">
        <v>2458</v>
      </c>
      <c r="AC310" s="414">
        <v>0</v>
      </c>
      <c r="AD310" s="283">
        <v>0</v>
      </c>
      <c r="AE310" s="414"/>
      <c r="AF310" s="414">
        <v>0</v>
      </c>
      <c r="AG310" s="278">
        <v>0</v>
      </c>
      <c r="AH310" s="414"/>
      <c r="AI310" s="414">
        <v>0</v>
      </c>
      <c r="AJ310" s="414">
        <v>0</v>
      </c>
      <c r="AK310" s="414" t="s">
        <v>2455</v>
      </c>
      <c r="AL310" s="414">
        <v>0</v>
      </c>
      <c r="AM310" s="414"/>
      <c r="AN310" s="414"/>
      <c r="AO310" s="414">
        <v>0</v>
      </c>
      <c r="AP310" s="414"/>
      <c r="AQ310" s="414"/>
      <c r="AR310" s="414">
        <v>0</v>
      </c>
      <c r="AS310" s="414"/>
      <c r="AT310" s="414"/>
      <c r="AU310" s="414">
        <v>0</v>
      </c>
      <c r="AV310" s="414"/>
      <c r="AW310" s="414"/>
      <c r="AX310" s="414">
        <v>0</v>
      </c>
      <c r="AY310" s="414"/>
      <c r="AZ310" s="414"/>
      <c r="BA310" s="137">
        <v>0</v>
      </c>
      <c r="BB310" s="142"/>
      <c r="BC310" s="142"/>
      <c r="BD310" s="413">
        <f t="shared" si="26"/>
        <v>1</v>
      </c>
      <c r="BE310" s="413">
        <f t="shared" si="27"/>
        <v>1</v>
      </c>
      <c r="BF310" s="60">
        <f t="shared" si="24"/>
        <v>1</v>
      </c>
    </row>
    <row r="311" spans="2:59" s="2" customFormat="1" ht="56.25" hidden="1" customHeight="1">
      <c r="B311" s="44"/>
      <c r="C311" s="27"/>
      <c r="D311" s="664"/>
      <c r="E311" s="661"/>
      <c r="F311" s="661"/>
      <c r="G311" s="414" t="s">
        <v>2459</v>
      </c>
      <c r="H311" s="414" t="s">
        <v>472</v>
      </c>
      <c r="I311" s="414">
        <v>0.1</v>
      </c>
      <c r="J311" s="414" t="s">
        <v>2452</v>
      </c>
      <c r="K311" s="414" t="s">
        <v>79</v>
      </c>
      <c r="L311" s="414" t="s">
        <v>2460</v>
      </c>
      <c r="M311" s="414" t="s">
        <v>2461</v>
      </c>
      <c r="N311" s="414" t="s">
        <v>2414</v>
      </c>
      <c r="O311" s="59">
        <v>44197</v>
      </c>
      <c r="P311" s="59">
        <v>44561</v>
      </c>
      <c r="Q311" s="414">
        <f t="shared" si="25"/>
        <v>0.85799999999999998</v>
      </c>
      <c r="R311" s="73">
        <v>0.83199999999999996</v>
      </c>
      <c r="S311" s="142"/>
      <c r="T311" s="414">
        <v>0</v>
      </c>
      <c r="U311" s="414">
        <v>0</v>
      </c>
      <c r="V311" s="414"/>
      <c r="W311" s="414">
        <v>0</v>
      </c>
      <c r="X311" s="414">
        <v>0</v>
      </c>
      <c r="Y311" s="414"/>
      <c r="Z311" s="414">
        <v>0</v>
      </c>
      <c r="AA311" s="115">
        <v>0</v>
      </c>
      <c r="AB311" s="115"/>
      <c r="AC311" s="414">
        <v>0</v>
      </c>
      <c r="AD311" s="414">
        <v>0</v>
      </c>
      <c r="AE311" s="414"/>
      <c r="AF311" s="73">
        <v>0.83199999999999996</v>
      </c>
      <c r="AG311" s="73">
        <v>0.85799999999999998</v>
      </c>
      <c r="AH311" s="414"/>
      <c r="AI311" s="414">
        <v>0</v>
      </c>
      <c r="AJ311" s="414">
        <v>0</v>
      </c>
      <c r="AK311" s="414" t="s">
        <v>2462</v>
      </c>
      <c r="AL311" s="414">
        <v>0</v>
      </c>
      <c r="AM311" s="414"/>
      <c r="AN311" s="414"/>
      <c r="AO311" s="414">
        <v>0</v>
      </c>
      <c r="AP311" s="414"/>
      <c r="AQ311" s="414"/>
      <c r="AR311" s="414">
        <v>0</v>
      </c>
      <c r="AS311" s="414"/>
      <c r="AT311" s="414"/>
      <c r="AU311" s="414">
        <v>0</v>
      </c>
      <c r="AV311" s="414"/>
      <c r="AW311" s="414"/>
      <c r="AX311" s="414">
        <v>0</v>
      </c>
      <c r="AY311" s="414"/>
      <c r="AZ311" s="414"/>
      <c r="BA311" s="137">
        <v>0</v>
      </c>
      <c r="BB311" s="142"/>
      <c r="BC311" s="142"/>
      <c r="BD311" s="413">
        <f t="shared" si="26"/>
        <v>0.83199999999999996</v>
      </c>
      <c r="BE311" s="413">
        <f t="shared" si="27"/>
        <v>0.85799999999999998</v>
      </c>
      <c r="BF311" s="60">
        <f t="shared" si="24"/>
        <v>1.03125</v>
      </c>
    </row>
    <row r="312" spans="2:59" s="2" customFormat="1" ht="67.5" hidden="1" customHeight="1" thickBot="1">
      <c r="B312" s="44"/>
      <c r="C312" s="27"/>
      <c r="D312" s="664"/>
      <c r="E312" s="414" t="s">
        <v>353</v>
      </c>
      <c r="F312" s="414" t="s">
        <v>354</v>
      </c>
      <c r="G312" s="414" t="s">
        <v>2463</v>
      </c>
      <c r="H312" s="414" t="s">
        <v>472</v>
      </c>
      <c r="I312" s="414">
        <v>1</v>
      </c>
      <c r="J312" s="414" t="s">
        <v>355</v>
      </c>
      <c r="K312" s="414" t="s">
        <v>73</v>
      </c>
      <c r="L312" s="414" t="s">
        <v>2464</v>
      </c>
      <c r="M312" s="414" t="s">
        <v>2464</v>
      </c>
      <c r="N312" s="414" t="s">
        <v>2414</v>
      </c>
      <c r="O312" s="59">
        <v>44197</v>
      </c>
      <c r="P312" s="59">
        <v>44561</v>
      </c>
      <c r="Q312" s="414">
        <f t="shared" si="25"/>
        <v>0.5</v>
      </c>
      <c r="R312" s="414">
        <v>4</v>
      </c>
      <c r="S312" s="142"/>
      <c r="T312" s="414">
        <v>0</v>
      </c>
      <c r="U312" s="214">
        <v>0</v>
      </c>
      <c r="V312" s="356"/>
      <c r="W312" s="414">
        <f>1/4</f>
        <v>0.25</v>
      </c>
      <c r="X312" s="414">
        <v>0.25</v>
      </c>
      <c r="Y312" s="414"/>
      <c r="Z312" s="414">
        <v>0</v>
      </c>
      <c r="AA312" s="115">
        <v>0</v>
      </c>
      <c r="AB312" s="115"/>
      <c r="AC312" s="414">
        <f>1/4</f>
        <v>0.25</v>
      </c>
      <c r="AD312" s="214">
        <v>0.25</v>
      </c>
      <c r="AE312" s="356" t="s">
        <v>2465</v>
      </c>
      <c r="AF312" s="414">
        <v>0</v>
      </c>
      <c r="AG312" s="267">
        <v>0</v>
      </c>
      <c r="AH312" s="147" t="s">
        <v>2466</v>
      </c>
      <c r="AI312" s="147">
        <v>0</v>
      </c>
      <c r="AJ312" s="414">
        <v>0</v>
      </c>
      <c r="AK312" s="414" t="s">
        <v>2467</v>
      </c>
      <c r="AL312" s="414">
        <v>1</v>
      </c>
      <c r="AM312" s="414"/>
      <c r="AN312" s="414"/>
      <c r="AO312" s="414">
        <v>0</v>
      </c>
      <c r="AP312" s="414"/>
      <c r="AQ312" s="414"/>
      <c r="AR312" s="414">
        <v>0</v>
      </c>
      <c r="AS312" s="414"/>
      <c r="AT312" s="414"/>
      <c r="AU312" s="414">
        <v>1</v>
      </c>
      <c r="AV312" s="414"/>
      <c r="AW312" s="414"/>
      <c r="AX312" s="414">
        <v>0</v>
      </c>
      <c r="AY312" s="414"/>
      <c r="AZ312" s="414"/>
      <c r="BA312" s="137">
        <v>0</v>
      </c>
      <c r="BB312" s="142"/>
      <c r="BC312" s="142"/>
      <c r="BD312" s="413">
        <f t="shared" si="26"/>
        <v>0.5</v>
      </c>
      <c r="BE312" s="413">
        <f t="shared" si="27"/>
        <v>0.5</v>
      </c>
      <c r="BF312" s="60">
        <f t="shared" si="24"/>
        <v>1</v>
      </c>
    </row>
    <row r="313" spans="2:59" s="2" customFormat="1" ht="51.75" hidden="1" customHeight="1">
      <c r="B313" s="44"/>
      <c r="C313" s="27"/>
      <c r="D313" s="664"/>
      <c r="E313" s="661" t="s">
        <v>2468</v>
      </c>
      <c r="F313" s="661" t="s">
        <v>356</v>
      </c>
      <c r="G313" s="414" t="s">
        <v>2469</v>
      </c>
      <c r="H313" s="414" t="s">
        <v>472</v>
      </c>
      <c r="I313" s="414">
        <v>0.33</v>
      </c>
      <c r="J313" s="414" t="s">
        <v>355</v>
      </c>
      <c r="K313" s="414" t="s">
        <v>73</v>
      </c>
      <c r="L313" s="414" t="s">
        <v>2470</v>
      </c>
      <c r="M313" s="414" t="s">
        <v>2470</v>
      </c>
      <c r="N313" s="414" t="s">
        <v>2414</v>
      </c>
      <c r="O313" s="59">
        <v>44197</v>
      </c>
      <c r="P313" s="59">
        <v>44561</v>
      </c>
      <c r="Q313" s="414">
        <f t="shared" si="25"/>
        <v>1</v>
      </c>
      <c r="R313" s="414">
        <v>1</v>
      </c>
      <c r="S313" s="142"/>
      <c r="T313" s="414">
        <v>0</v>
      </c>
      <c r="U313" s="214">
        <v>0</v>
      </c>
      <c r="V313" s="357"/>
      <c r="W313" s="414">
        <v>0</v>
      </c>
      <c r="X313" s="414">
        <v>0</v>
      </c>
      <c r="Y313" s="414"/>
      <c r="Z313" s="414">
        <v>0</v>
      </c>
      <c r="AA313" s="115">
        <v>0</v>
      </c>
      <c r="AB313" s="115"/>
      <c r="AC313" s="414">
        <v>1</v>
      </c>
      <c r="AD313" s="214">
        <v>1</v>
      </c>
      <c r="AE313" s="356" t="s">
        <v>2471</v>
      </c>
      <c r="AF313" s="414">
        <v>0</v>
      </c>
      <c r="AG313" s="267">
        <v>0</v>
      </c>
      <c r="AH313" s="147" t="s">
        <v>2471</v>
      </c>
      <c r="AI313" s="147">
        <v>0</v>
      </c>
      <c r="AJ313" s="414">
        <v>0</v>
      </c>
      <c r="AK313" s="414" t="s">
        <v>1420</v>
      </c>
      <c r="AL313" s="414">
        <v>0</v>
      </c>
      <c r="AM313" s="414"/>
      <c r="AN313" s="414"/>
      <c r="AO313" s="414">
        <v>0</v>
      </c>
      <c r="AP313" s="414"/>
      <c r="AQ313" s="414"/>
      <c r="AR313" s="414">
        <v>0</v>
      </c>
      <c r="AS313" s="414"/>
      <c r="AT313" s="414"/>
      <c r="AU313" s="414">
        <v>0</v>
      </c>
      <c r="AV313" s="414"/>
      <c r="AW313" s="414"/>
      <c r="AX313" s="414">
        <v>0</v>
      </c>
      <c r="AY313" s="414"/>
      <c r="AZ313" s="414"/>
      <c r="BA313" s="137">
        <v>0</v>
      </c>
      <c r="BB313" s="142"/>
      <c r="BC313" s="142"/>
      <c r="BD313" s="413">
        <f t="shared" si="26"/>
        <v>1</v>
      </c>
      <c r="BE313" s="413">
        <f t="shared" si="27"/>
        <v>1</v>
      </c>
      <c r="BF313" s="60">
        <f t="shared" si="24"/>
        <v>1</v>
      </c>
    </row>
    <row r="314" spans="2:59" s="2" customFormat="1" ht="51.75" hidden="1" customHeight="1">
      <c r="B314" s="44"/>
      <c r="C314" s="27"/>
      <c r="D314" s="664"/>
      <c r="E314" s="661"/>
      <c r="F314" s="661"/>
      <c r="G314" s="414" t="s">
        <v>2472</v>
      </c>
      <c r="H314" s="414" t="s">
        <v>472</v>
      </c>
      <c r="I314" s="414">
        <v>0.33</v>
      </c>
      <c r="J314" s="414" t="s">
        <v>355</v>
      </c>
      <c r="K314" s="414" t="s">
        <v>73</v>
      </c>
      <c r="L314" s="414" t="s">
        <v>2473</v>
      </c>
      <c r="M314" s="414" t="s">
        <v>2473</v>
      </c>
      <c r="N314" s="414" t="s">
        <v>2414</v>
      </c>
      <c r="O314" s="59">
        <v>44197</v>
      </c>
      <c r="P314" s="59">
        <v>44561</v>
      </c>
      <c r="Q314" s="414">
        <f t="shared" si="25"/>
        <v>1</v>
      </c>
      <c r="R314" s="414">
        <v>1</v>
      </c>
      <c r="S314" s="142"/>
      <c r="T314" s="414">
        <v>0</v>
      </c>
      <c r="U314" s="214">
        <v>0</v>
      </c>
      <c r="V314" s="356"/>
      <c r="W314" s="414">
        <v>0</v>
      </c>
      <c r="X314" s="414">
        <v>0</v>
      </c>
      <c r="Y314" s="414"/>
      <c r="Z314" s="414">
        <v>0</v>
      </c>
      <c r="AA314" s="115">
        <v>0</v>
      </c>
      <c r="AB314" s="115"/>
      <c r="AC314" s="414">
        <v>0</v>
      </c>
      <c r="AD314" s="214">
        <v>1</v>
      </c>
      <c r="AE314" s="356" t="s">
        <v>2474</v>
      </c>
      <c r="AF314" s="414">
        <v>0</v>
      </c>
      <c r="AG314" s="267">
        <v>0</v>
      </c>
      <c r="AH314" s="147" t="s">
        <v>2471</v>
      </c>
      <c r="AI314" s="147">
        <v>0</v>
      </c>
      <c r="AJ314" s="414">
        <v>0</v>
      </c>
      <c r="AK314" s="414" t="s">
        <v>1420</v>
      </c>
      <c r="AL314" s="414">
        <v>1</v>
      </c>
      <c r="AM314" s="414"/>
      <c r="AN314" s="414"/>
      <c r="AO314" s="414">
        <v>0</v>
      </c>
      <c r="AP314" s="414"/>
      <c r="AQ314" s="414"/>
      <c r="AR314" s="414">
        <v>0</v>
      </c>
      <c r="AS314" s="414"/>
      <c r="AT314" s="414"/>
      <c r="AU314" s="414">
        <v>0</v>
      </c>
      <c r="AV314" s="414"/>
      <c r="AW314" s="414"/>
      <c r="AX314" s="414">
        <v>0</v>
      </c>
      <c r="AY314" s="414"/>
      <c r="AZ314" s="414"/>
      <c r="BA314" s="137">
        <v>0</v>
      </c>
      <c r="BB314" s="142"/>
      <c r="BC314" s="142"/>
      <c r="BD314" s="413">
        <f t="shared" si="26"/>
        <v>0</v>
      </c>
      <c r="BE314" s="413">
        <f t="shared" si="27"/>
        <v>1</v>
      </c>
      <c r="BF314" s="60">
        <f t="shared" si="24"/>
        <v>1</v>
      </c>
    </row>
    <row r="315" spans="2:59" s="2" customFormat="1" ht="51.75" hidden="1" customHeight="1">
      <c r="B315" s="44"/>
      <c r="C315" s="27"/>
      <c r="D315" s="665"/>
      <c r="E315" s="662"/>
      <c r="F315" s="662"/>
      <c r="G315" s="415" t="s">
        <v>2475</v>
      </c>
      <c r="H315" s="415" t="s">
        <v>472</v>
      </c>
      <c r="I315" s="415">
        <v>0.34</v>
      </c>
      <c r="J315" s="415" t="s">
        <v>355</v>
      </c>
      <c r="K315" s="415" t="s">
        <v>73</v>
      </c>
      <c r="L315" s="415" t="s">
        <v>356</v>
      </c>
      <c r="M315" s="415" t="s">
        <v>356</v>
      </c>
      <c r="N315" s="415" t="s">
        <v>2414</v>
      </c>
      <c r="O315" s="64">
        <v>44197</v>
      </c>
      <c r="P315" s="64">
        <v>44561</v>
      </c>
      <c r="Q315" s="415">
        <f t="shared" si="25"/>
        <v>0</v>
      </c>
      <c r="R315" s="415">
        <v>1</v>
      </c>
      <c r="S315" s="66"/>
      <c r="T315" s="415">
        <v>0</v>
      </c>
      <c r="U315" s="415">
        <v>0</v>
      </c>
      <c r="V315" s="415"/>
      <c r="W315" s="415">
        <v>0</v>
      </c>
      <c r="X315" s="415">
        <v>0</v>
      </c>
      <c r="Y315" s="415"/>
      <c r="Z315" s="415">
        <v>0</v>
      </c>
      <c r="AA315" s="215">
        <v>0</v>
      </c>
      <c r="AB315" s="215"/>
      <c r="AC315" s="415">
        <v>0</v>
      </c>
      <c r="AD315" s="415">
        <v>0</v>
      </c>
      <c r="AE315" s="415" t="s">
        <v>1822</v>
      </c>
      <c r="AF315" s="415">
        <v>0</v>
      </c>
      <c r="AG315" s="268">
        <v>0</v>
      </c>
      <c r="AH315" s="129" t="s">
        <v>2476</v>
      </c>
      <c r="AI315" s="129">
        <v>0</v>
      </c>
      <c r="AJ315" s="415">
        <v>0</v>
      </c>
      <c r="AK315" s="415" t="s">
        <v>1420</v>
      </c>
      <c r="AL315" s="415">
        <v>0</v>
      </c>
      <c r="AM315" s="415"/>
      <c r="AN315" s="415"/>
      <c r="AO315" s="415">
        <v>0</v>
      </c>
      <c r="AP315" s="415"/>
      <c r="AQ315" s="415"/>
      <c r="AR315" s="415">
        <v>0</v>
      </c>
      <c r="AS315" s="415"/>
      <c r="AT315" s="415"/>
      <c r="AU315" s="415">
        <v>0</v>
      </c>
      <c r="AV315" s="415"/>
      <c r="AW315" s="415"/>
      <c r="AX315" s="415">
        <v>0</v>
      </c>
      <c r="AY315" s="415"/>
      <c r="AZ315" s="415"/>
      <c r="BA315" s="192">
        <v>1</v>
      </c>
      <c r="BB315" s="66"/>
      <c r="BC315" s="66"/>
      <c r="BD315" s="413">
        <f t="shared" si="26"/>
        <v>0</v>
      </c>
      <c r="BE315" s="413">
        <f t="shared" si="27"/>
        <v>0</v>
      </c>
      <c r="BF315" s="67" t="str">
        <f t="shared" si="24"/>
        <v>No programación, No avance</v>
      </c>
    </row>
    <row r="316" spans="2:59" s="2" customFormat="1" ht="60" hidden="1" customHeight="1">
      <c r="B316" s="44" t="s">
        <v>249</v>
      </c>
      <c r="C316" s="27" t="s">
        <v>1800</v>
      </c>
      <c r="D316" s="672" t="s">
        <v>2477</v>
      </c>
      <c r="E316" s="647" t="s">
        <v>250</v>
      </c>
      <c r="F316" s="647" t="s">
        <v>251</v>
      </c>
      <c r="G316" s="409" t="s">
        <v>2478</v>
      </c>
      <c r="H316" s="409" t="s">
        <v>472</v>
      </c>
      <c r="I316" s="409">
        <v>0.5</v>
      </c>
      <c r="J316" s="409" t="s">
        <v>2479</v>
      </c>
      <c r="K316" s="409" t="s">
        <v>79</v>
      </c>
      <c r="L316" s="409" t="s">
        <v>127</v>
      </c>
      <c r="M316" s="409" t="s">
        <v>127</v>
      </c>
      <c r="N316" s="409" t="s">
        <v>475</v>
      </c>
      <c r="O316" s="37">
        <v>44197</v>
      </c>
      <c r="P316" s="37">
        <v>44561</v>
      </c>
      <c r="Q316" s="409">
        <f t="shared" si="25"/>
        <v>0.2</v>
      </c>
      <c r="R316" s="409">
        <v>1</v>
      </c>
      <c r="S316" s="412">
        <f t="shared" si="23"/>
        <v>1</v>
      </c>
      <c r="T316" s="409">
        <v>0</v>
      </c>
      <c r="U316" s="409">
        <v>0</v>
      </c>
      <c r="V316" s="409"/>
      <c r="W316" s="409">
        <v>0</v>
      </c>
      <c r="X316" s="289">
        <v>0</v>
      </c>
      <c r="Y316" s="409"/>
      <c r="Z316" s="409">
        <v>0</v>
      </c>
      <c r="AA316" s="299">
        <v>0.1</v>
      </c>
      <c r="AB316" s="120" t="s">
        <v>2480</v>
      </c>
      <c r="AC316" s="409">
        <v>0</v>
      </c>
      <c r="AD316" s="297">
        <v>0.1</v>
      </c>
      <c r="AE316" s="54" t="s">
        <v>2481</v>
      </c>
      <c r="AF316" s="121">
        <v>0.2</v>
      </c>
      <c r="AG316" s="312">
        <v>0</v>
      </c>
      <c r="AH316" s="152" t="s">
        <v>2482</v>
      </c>
      <c r="AI316" s="409">
        <v>0</v>
      </c>
      <c r="AJ316" s="409">
        <v>0</v>
      </c>
      <c r="AK316" s="409" t="s">
        <v>2483</v>
      </c>
      <c r="AL316" s="409">
        <v>0</v>
      </c>
      <c r="AM316" s="409"/>
      <c r="AN316" s="409"/>
      <c r="AO316" s="409">
        <v>0</v>
      </c>
      <c r="AP316" s="409"/>
      <c r="AQ316" s="409"/>
      <c r="AR316" s="409">
        <v>0</v>
      </c>
      <c r="AS316" s="409"/>
      <c r="AT316" s="409"/>
      <c r="AU316" s="409">
        <v>0</v>
      </c>
      <c r="AV316" s="409"/>
      <c r="AW316" s="409"/>
      <c r="AX316" s="409">
        <v>0</v>
      </c>
      <c r="AY316" s="409"/>
      <c r="AZ316" s="409"/>
      <c r="BA316" s="199">
        <v>0.8</v>
      </c>
      <c r="BB316" s="412"/>
      <c r="BC316" s="412"/>
      <c r="BD316" s="413">
        <f t="shared" si="26"/>
        <v>0.2</v>
      </c>
      <c r="BE316" s="413">
        <f t="shared" si="27"/>
        <v>0.2</v>
      </c>
      <c r="BF316" s="46">
        <f t="shared" si="24"/>
        <v>1</v>
      </c>
      <c r="BG316" s="2">
        <f>+AVERAGE(BF316:BF317)</f>
        <v>1</v>
      </c>
    </row>
    <row r="317" spans="2:59" s="2" customFormat="1" ht="96.75" hidden="1" thickBot="1">
      <c r="B317" s="44" t="s">
        <v>249</v>
      </c>
      <c r="C317" s="27" t="s">
        <v>1809</v>
      </c>
      <c r="D317" s="674"/>
      <c r="E317" s="649"/>
      <c r="F317" s="649"/>
      <c r="G317" s="411" t="s">
        <v>2484</v>
      </c>
      <c r="H317" s="411" t="s">
        <v>472</v>
      </c>
      <c r="I317" s="411">
        <v>0.5</v>
      </c>
      <c r="J317" s="411" t="s">
        <v>2479</v>
      </c>
      <c r="K317" s="411" t="s">
        <v>79</v>
      </c>
      <c r="L317" s="411" t="s">
        <v>1811</v>
      </c>
      <c r="M317" s="411" t="s">
        <v>127</v>
      </c>
      <c r="N317" s="411" t="s">
        <v>475</v>
      </c>
      <c r="O317" s="42">
        <v>44197</v>
      </c>
      <c r="P317" s="42">
        <v>44561</v>
      </c>
      <c r="Q317" s="411">
        <f t="shared" si="25"/>
        <v>0</v>
      </c>
      <c r="R317" s="411">
        <v>1</v>
      </c>
      <c r="S317" s="143">
        <f t="shared" si="23"/>
        <v>1</v>
      </c>
      <c r="T317" s="411">
        <v>0</v>
      </c>
      <c r="U317" s="411">
        <v>0</v>
      </c>
      <c r="V317" s="411"/>
      <c r="W317" s="411">
        <v>0</v>
      </c>
      <c r="X317" s="290">
        <v>0</v>
      </c>
      <c r="Y317" s="411"/>
      <c r="Z317" s="411">
        <v>0</v>
      </c>
      <c r="AA317" s="300">
        <v>0</v>
      </c>
      <c r="AB317" s="32" t="s">
        <v>2485</v>
      </c>
      <c r="AC317" s="411">
        <v>0</v>
      </c>
      <c r="AD317" s="282">
        <v>0</v>
      </c>
      <c r="AE317" s="176" t="s">
        <v>2481</v>
      </c>
      <c r="AF317" s="411">
        <v>0</v>
      </c>
      <c r="AG317" s="313">
        <v>0</v>
      </c>
      <c r="AH317" s="196" t="s">
        <v>2486</v>
      </c>
      <c r="AI317" s="411">
        <v>0</v>
      </c>
      <c r="AJ317" s="411">
        <v>0</v>
      </c>
      <c r="AK317" s="411" t="s">
        <v>2487</v>
      </c>
      <c r="AL317" s="411">
        <v>0</v>
      </c>
      <c r="AM317" s="411"/>
      <c r="AN317" s="411"/>
      <c r="AO317" s="411">
        <v>0</v>
      </c>
      <c r="AP317" s="411"/>
      <c r="AQ317" s="411"/>
      <c r="AR317" s="53">
        <v>1</v>
      </c>
      <c r="AS317" s="411"/>
      <c r="AT317" s="411"/>
      <c r="AU317" s="411">
        <v>0</v>
      </c>
      <c r="AV317" s="411"/>
      <c r="AW317" s="411"/>
      <c r="AX317" s="411">
        <v>0</v>
      </c>
      <c r="AY317" s="411"/>
      <c r="AZ317" s="411"/>
      <c r="BA317" s="192">
        <v>0</v>
      </c>
      <c r="BB317" s="143"/>
      <c r="BC317" s="143"/>
      <c r="BD317" s="413">
        <f t="shared" si="26"/>
        <v>0</v>
      </c>
      <c r="BE317" s="413">
        <f t="shared" si="27"/>
        <v>0</v>
      </c>
      <c r="BF317" s="52" t="str">
        <f t="shared" si="24"/>
        <v>No programación, No avance</v>
      </c>
    </row>
    <row r="318" spans="2:59" s="2" customFormat="1" ht="60.75" hidden="1" customHeight="1">
      <c r="B318" s="44" t="s">
        <v>359</v>
      </c>
      <c r="C318" s="27" t="s">
        <v>2488</v>
      </c>
      <c r="D318" s="663" t="s">
        <v>29</v>
      </c>
      <c r="E318" s="660" t="s">
        <v>360</v>
      </c>
      <c r="F318" s="660" t="s">
        <v>2489</v>
      </c>
      <c r="G318" s="416" t="s">
        <v>2490</v>
      </c>
      <c r="H318" s="416" t="s">
        <v>2491</v>
      </c>
      <c r="I318" s="416">
        <v>0.5</v>
      </c>
      <c r="J318" s="416" t="s">
        <v>361</v>
      </c>
      <c r="K318" s="416" t="s">
        <v>73</v>
      </c>
      <c r="L318" s="416" t="s">
        <v>72</v>
      </c>
      <c r="M318" s="416" t="s">
        <v>1150</v>
      </c>
      <c r="N318" s="416" t="s">
        <v>2492</v>
      </c>
      <c r="O318" s="74">
        <v>44197</v>
      </c>
      <c r="P318" s="74">
        <v>44561</v>
      </c>
      <c r="Q318" s="416">
        <f t="shared" si="25"/>
        <v>0</v>
      </c>
      <c r="R318" s="416">
        <v>3</v>
      </c>
      <c r="S318" s="141">
        <f t="shared" si="23"/>
        <v>3</v>
      </c>
      <c r="T318" s="416">
        <v>0</v>
      </c>
      <c r="U318" s="77">
        <v>0</v>
      </c>
      <c r="V318" s="416" t="s">
        <v>2493</v>
      </c>
      <c r="W318" s="416">
        <v>0</v>
      </c>
      <c r="X318" s="77">
        <v>0</v>
      </c>
      <c r="Y318" s="416" t="s">
        <v>2494</v>
      </c>
      <c r="Z318" s="416">
        <v>0</v>
      </c>
      <c r="AA318" s="116">
        <v>0</v>
      </c>
      <c r="AB318" s="358" t="s">
        <v>2495</v>
      </c>
      <c r="AC318" s="416">
        <v>0</v>
      </c>
      <c r="AD318" s="77">
        <v>0</v>
      </c>
      <c r="AE318" s="358" t="s">
        <v>2496</v>
      </c>
      <c r="AF318" s="416">
        <v>0</v>
      </c>
      <c r="AG318" s="269">
        <v>0</v>
      </c>
      <c r="AH318" s="217" t="s">
        <v>2497</v>
      </c>
      <c r="AI318" s="416">
        <v>0</v>
      </c>
      <c r="AJ318" s="416">
        <v>0</v>
      </c>
      <c r="AK318" s="416" t="s">
        <v>2498</v>
      </c>
      <c r="AL318" s="416">
        <v>0</v>
      </c>
      <c r="AM318" s="416"/>
      <c r="AN318" s="416"/>
      <c r="AO318" s="416">
        <v>0</v>
      </c>
      <c r="AP318" s="416"/>
      <c r="AQ318" s="416"/>
      <c r="AR318" s="416">
        <v>1</v>
      </c>
      <c r="AS318" s="416"/>
      <c r="AT318" s="416"/>
      <c r="AU318" s="416">
        <v>1</v>
      </c>
      <c r="AV318" s="416"/>
      <c r="AW318" s="416"/>
      <c r="AX318" s="416">
        <v>1</v>
      </c>
      <c r="AY318" s="416"/>
      <c r="AZ318" s="416"/>
      <c r="BA318" s="175">
        <v>0</v>
      </c>
      <c r="BB318" s="141"/>
      <c r="BC318" s="141"/>
      <c r="BD318" s="413">
        <f t="shared" si="26"/>
        <v>0</v>
      </c>
      <c r="BE318" s="413">
        <f t="shared" si="27"/>
        <v>0</v>
      </c>
      <c r="BF318" s="75" t="str">
        <f t="shared" si="24"/>
        <v>No programación, No avance</v>
      </c>
      <c r="BG318" s="2">
        <f>+AVERAGE(BF318:BF328)</f>
        <v>0.62499999999999978</v>
      </c>
    </row>
    <row r="319" spans="2:59" s="2" customFormat="1" ht="60.75" hidden="1" customHeight="1">
      <c r="B319" s="44" t="s">
        <v>359</v>
      </c>
      <c r="C319" s="27" t="s">
        <v>2499</v>
      </c>
      <c r="D319" s="664"/>
      <c r="E319" s="661"/>
      <c r="F319" s="661"/>
      <c r="G319" s="414" t="s">
        <v>2500</v>
      </c>
      <c r="H319" s="414" t="s">
        <v>2501</v>
      </c>
      <c r="I319" s="414">
        <v>0.2</v>
      </c>
      <c r="J319" s="414" t="s">
        <v>361</v>
      </c>
      <c r="K319" s="414" t="s">
        <v>73</v>
      </c>
      <c r="L319" s="414" t="s">
        <v>72</v>
      </c>
      <c r="M319" s="414" t="s">
        <v>1150</v>
      </c>
      <c r="N319" s="414" t="s">
        <v>2492</v>
      </c>
      <c r="O319" s="59">
        <v>44197</v>
      </c>
      <c r="P319" s="59">
        <v>44561</v>
      </c>
      <c r="Q319" s="414">
        <f t="shared" si="25"/>
        <v>0</v>
      </c>
      <c r="R319" s="414">
        <v>2</v>
      </c>
      <c r="S319" s="142">
        <f t="shared" si="23"/>
        <v>2</v>
      </c>
      <c r="T319" s="414">
        <v>0</v>
      </c>
      <c r="U319" s="78">
        <v>0</v>
      </c>
      <c r="V319" s="414" t="s">
        <v>2502</v>
      </c>
      <c r="W319" s="414">
        <v>0</v>
      </c>
      <c r="X319" s="78">
        <v>0</v>
      </c>
      <c r="Y319" s="414" t="s">
        <v>2503</v>
      </c>
      <c r="Z319" s="414">
        <v>0</v>
      </c>
      <c r="AA319" s="117">
        <v>0</v>
      </c>
      <c r="AB319" s="359" t="s">
        <v>2504</v>
      </c>
      <c r="AC319" s="414">
        <v>0</v>
      </c>
      <c r="AD319" s="78">
        <v>0</v>
      </c>
      <c r="AE319" s="359" t="s">
        <v>2505</v>
      </c>
      <c r="AF319" s="414">
        <v>0</v>
      </c>
      <c r="AG319" s="270">
        <v>0</v>
      </c>
      <c r="AH319" s="216" t="s">
        <v>2497</v>
      </c>
      <c r="AI319" s="414">
        <v>0</v>
      </c>
      <c r="AJ319" s="414">
        <v>0</v>
      </c>
      <c r="AK319" s="414" t="s">
        <v>2498</v>
      </c>
      <c r="AL319" s="414">
        <v>0</v>
      </c>
      <c r="AM319" s="414"/>
      <c r="AN319" s="414"/>
      <c r="AO319" s="414">
        <v>0</v>
      </c>
      <c r="AP319" s="414"/>
      <c r="AQ319" s="414"/>
      <c r="AR319" s="414">
        <v>0</v>
      </c>
      <c r="AS319" s="414"/>
      <c r="AT319" s="414"/>
      <c r="AU319" s="414">
        <v>1</v>
      </c>
      <c r="AV319" s="414"/>
      <c r="AW319" s="414"/>
      <c r="AX319" s="414">
        <v>1</v>
      </c>
      <c r="AY319" s="414"/>
      <c r="AZ319" s="414"/>
      <c r="BA319" s="137">
        <v>0</v>
      </c>
      <c r="BB319" s="142"/>
      <c r="BC319" s="142"/>
      <c r="BD319" s="413">
        <f t="shared" si="26"/>
        <v>0</v>
      </c>
      <c r="BE319" s="413">
        <f t="shared" si="27"/>
        <v>0</v>
      </c>
      <c r="BF319" s="60" t="str">
        <f t="shared" si="24"/>
        <v>No programación, No avance</v>
      </c>
    </row>
    <row r="320" spans="2:59" s="2" customFormat="1" ht="60.75" hidden="1" customHeight="1">
      <c r="B320" s="44" t="s">
        <v>359</v>
      </c>
      <c r="C320" s="27" t="s">
        <v>2506</v>
      </c>
      <c r="D320" s="664"/>
      <c r="E320" s="661"/>
      <c r="F320" s="661"/>
      <c r="G320" s="414" t="s">
        <v>2507</v>
      </c>
      <c r="H320" s="414" t="s">
        <v>2501</v>
      </c>
      <c r="I320" s="414">
        <v>0.3</v>
      </c>
      <c r="J320" s="414" t="s">
        <v>361</v>
      </c>
      <c r="K320" s="414" t="s">
        <v>73</v>
      </c>
      <c r="L320" s="414" t="s">
        <v>72</v>
      </c>
      <c r="M320" s="414" t="s">
        <v>1150</v>
      </c>
      <c r="N320" s="414" t="s">
        <v>2492</v>
      </c>
      <c r="O320" s="59">
        <v>44197</v>
      </c>
      <c r="P320" s="59">
        <v>44561</v>
      </c>
      <c r="Q320" s="414">
        <f t="shared" si="25"/>
        <v>0</v>
      </c>
      <c r="R320" s="414">
        <v>1</v>
      </c>
      <c r="S320" s="142">
        <f t="shared" si="23"/>
        <v>1</v>
      </c>
      <c r="T320" s="414">
        <v>0</v>
      </c>
      <c r="U320" s="78">
        <v>0</v>
      </c>
      <c r="V320" s="414" t="s">
        <v>2508</v>
      </c>
      <c r="W320" s="414">
        <v>0</v>
      </c>
      <c r="X320" s="78">
        <v>0</v>
      </c>
      <c r="Y320" s="414" t="s">
        <v>2508</v>
      </c>
      <c r="Z320" s="414">
        <v>0</v>
      </c>
      <c r="AA320" s="117">
        <v>0</v>
      </c>
      <c r="AB320" s="359" t="s">
        <v>2509</v>
      </c>
      <c r="AC320" s="414">
        <v>0</v>
      </c>
      <c r="AD320" s="78">
        <v>0</v>
      </c>
      <c r="AE320" s="359" t="s">
        <v>2510</v>
      </c>
      <c r="AF320" s="414">
        <v>0</v>
      </c>
      <c r="AG320" s="270">
        <v>0</v>
      </c>
      <c r="AH320" s="216" t="s">
        <v>2497</v>
      </c>
      <c r="AI320" s="414">
        <v>0</v>
      </c>
      <c r="AJ320" s="414">
        <v>0</v>
      </c>
      <c r="AK320" s="414" t="s">
        <v>2511</v>
      </c>
      <c r="AL320" s="414">
        <v>0</v>
      </c>
      <c r="AM320" s="414"/>
      <c r="AN320" s="414"/>
      <c r="AO320" s="414">
        <v>0</v>
      </c>
      <c r="AP320" s="414"/>
      <c r="AQ320" s="414"/>
      <c r="AR320" s="414">
        <v>0</v>
      </c>
      <c r="AS320" s="414"/>
      <c r="AT320" s="414"/>
      <c r="AU320" s="414">
        <v>0</v>
      </c>
      <c r="AV320" s="414"/>
      <c r="AW320" s="414"/>
      <c r="AX320" s="414">
        <v>0</v>
      </c>
      <c r="AY320" s="414"/>
      <c r="AZ320" s="414"/>
      <c r="BA320" s="137">
        <v>1</v>
      </c>
      <c r="BB320" s="142"/>
      <c r="BC320" s="142"/>
      <c r="BD320" s="413">
        <f t="shared" si="26"/>
        <v>0</v>
      </c>
      <c r="BE320" s="413">
        <f t="shared" si="27"/>
        <v>0</v>
      </c>
      <c r="BF320" s="60" t="str">
        <f t="shared" si="24"/>
        <v>No programación, No avance</v>
      </c>
    </row>
    <row r="321" spans="2:59" s="2" customFormat="1" ht="60.75" hidden="1" customHeight="1">
      <c r="B321" s="44" t="s">
        <v>362</v>
      </c>
      <c r="C321" s="27" t="s">
        <v>2512</v>
      </c>
      <c r="D321" s="664"/>
      <c r="E321" s="661" t="s">
        <v>363</v>
      </c>
      <c r="F321" s="661" t="s">
        <v>2513</v>
      </c>
      <c r="G321" s="414" t="s">
        <v>2514</v>
      </c>
      <c r="H321" s="414" t="s">
        <v>2501</v>
      </c>
      <c r="I321" s="414">
        <v>0.2</v>
      </c>
      <c r="J321" s="414" t="s">
        <v>361</v>
      </c>
      <c r="K321" s="414" t="s">
        <v>73</v>
      </c>
      <c r="L321" s="414" t="s">
        <v>72</v>
      </c>
      <c r="M321" s="414" t="s">
        <v>1150</v>
      </c>
      <c r="N321" s="414" t="s">
        <v>2515</v>
      </c>
      <c r="O321" s="59">
        <v>44197</v>
      </c>
      <c r="P321" s="59">
        <v>44561</v>
      </c>
      <c r="Q321" s="414">
        <f t="shared" si="25"/>
        <v>0</v>
      </c>
      <c r="R321" s="414">
        <v>30</v>
      </c>
      <c r="S321" s="142">
        <f t="shared" si="23"/>
        <v>30</v>
      </c>
      <c r="T321" s="414">
        <v>0</v>
      </c>
      <c r="U321" s="78">
        <v>0</v>
      </c>
      <c r="V321" s="414" t="s">
        <v>2516</v>
      </c>
      <c r="W321" s="414">
        <v>0</v>
      </c>
      <c r="X321" s="78">
        <v>0</v>
      </c>
      <c r="Y321" s="414" t="s">
        <v>2517</v>
      </c>
      <c r="Z321" s="414">
        <v>0</v>
      </c>
      <c r="AA321" s="117">
        <v>0</v>
      </c>
      <c r="AB321" s="359" t="s">
        <v>2518</v>
      </c>
      <c r="AC321" s="414">
        <v>0</v>
      </c>
      <c r="AD321" s="78">
        <v>0</v>
      </c>
      <c r="AE321" s="359" t="s">
        <v>365</v>
      </c>
      <c r="AF321" s="414">
        <v>0</v>
      </c>
      <c r="AG321" s="270">
        <v>0</v>
      </c>
      <c r="AH321" s="216" t="s">
        <v>2519</v>
      </c>
      <c r="AI321" s="414">
        <v>0</v>
      </c>
      <c r="AJ321" s="414">
        <v>0</v>
      </c>
      <c r="AK321" s="414" t="s">
        <v>2520</v>
      </c>
      <c r="AL321" s="414">
        <v>0</v>
      </c>
      <c r="AM321" s="414"/>
      <c r="AN321" s="414"/>
      <c r="AO321" s="414">
        <v>0</v>
      </c>
      <c r="AP321" s="414"/>
      <c r="AQ321" s="414"/>
      <c r="AR321" s="414">
        <v>10</v>
      </c>
      <c r="AS321" s="414"/>
      <c r="AT321" s="414"/>
      <c r="AU321" s="414">
        <v>10</v>
      </c>
      <c r="AV321" s="414"/>
      <c r="AW321" s="414"/>
      <c r="AX321" s="414">
        <v>10</v>
      </c>
      <c r="AY321" s="414"/>
      <c r="AZ321" s="414"/>
      <c r="BA321" s="137">
        <v>0</v>
      </c>
      <c r="BB321" s="142"/>
      <c r="BC321" s="142"/>
      <c r="BD321" s="413">
        <f t="shared" si="26"/>
        <v>0</v>
      </c>
      <c r="BE321" s="413">
        <f t="shared" si="27"/>
        <v>0</v>
      </c>
      <c r="BF321" s="60" t="str">
        <f t="shared" si="24"/>
        <v>No programación, No avance</v>
      </c>
    </row>
    <row r="322" spans="2:59" s="2" customFormat="1" ht="60.75" hidden="1" customHeight="1">
      <c r="B322" s="44" t="s">
        <v>362</v>
      </c>
      <c r="C322" s="27" t="s">
        <v>2521</v>
      </c>
      <c r="D322" s="664"/>
      <c r="E322" s="661"/>
      <c r="F322" s="661"/>
      <c r="G322" s="414" t="s">
        <v>2522</v>
      </c>
      <c r="H322" s="414" t="s">
        <v>2501</v>
      </c>
      <c r="I322" s="414">
        <v>0.4</v>
      </c>
      <c r="J322" s="414" t="s">
        <v>361</v>
      </c>
      <c r="K322" s="414" t="s">
        <v>73</v>
      </c>
      <c r="L322" s="414" t="s">
        <v>72</v>
      </c>
      <c r="M322" s="414" t="s">
        <v>1150</v>
      </c>
      <c r="N322" s="414" t="s">
        <v>2515</v>
      </c>
      <c r="O322" s="59">
        <v>44197</v>
      </c>
      <c r="P322" s="59">
        <v>44561</v>
      </c>
      <c r="Q322" s="414">
        <f t="shared" si="25"/>
        <v>0</v>
      </c>
      <c r="R322" s="414">
        <v>5</v>
      </c>
      <c r="S322" s="142">
        <f t="shared" si="23"/>
        <v>5</v>
      </c>
      <c r="T322" s="414">
        <v>0</v>
      </c>
      <c r="U322" s="78">
        <v>0</v>
      </c>
      <c r="V322" s="414" t="s">
        <v>2516</v>
      </c>
      <c r="W322" s="414">
        <v>0</v>
      </c>
      <c r="X322" s="78">
        <v>0</v>
      </c>
      <c r="Y322" s="414" t="s">
        <v>2517</v>
      </c>
      <c r="Z322" s="414">
        <v>0</v>
      </c>
      <c r="AA322" s="117">
        <v>0</v>
      </c>
      <c r="AB322" s="359" t="s">
        <v>2523</v>
      </c>
      <c r="AC322" s="414">
        <v>0</v>
      </c>
      <c r="AD322" s="78">
        <v>0</v>
      </c>
      <c r="AE322" s="359" t="s">
        <v>365</v>
      </c>
      <c r="AF322" s="414">
        <v>0</v>
      </c>
      <c r="AG322" s="270">
        <v>0</v>
      </c>
      <c r="AH322" s="216" t="s">
        <v>2519</v>
      </c>
      <c r="AI322" s="414">
        <v>0</v>
      </c>
      <c r="AJ322" s="414">
        <v>0</v>
      </c>
      <c r="AK322" s="414" t="s">
        <v>2520</v>
      </c>
      <c r="AL322" s="414">
        <v>0</v>
      </c>
      <c r="AM322" s="414"/>
      <c r="AN322" s="414"/>
      <c r="AO322" s="414">
        <v>0</v>
      </c>
      <c r="AP322" s="414"/>
      <c r="AQ322" s="414"/>
      <c r="AR322" s="414">
        <v>2</v>
      </c>
      <c r="AS322" s="414"/>
      <c r="AT322" s="414"/>
      <c r="AU322" s="414">
        <v>0</v>
      </c>
      <c r="AV322" s="414"/>
      <c r="AW322" s="414"/>
      <c r="AX322" s="414">
        <v>3</v>
      </c>
      <c r="AY322" s="414"/>
      <c r="AZ322" s="414"/>
      <c r="BA322" s="137">
        <v>0</v>
      </c>
      <c r="BB322" s="142"/>
      <c r="BC322" s="142"/>
      <c r="BD322" s="413">
        <f t="shared" si="26"/>
        <v>0</v>
      </c>
      <c r="BE322" s="413">
        <f t="shared" si="27"/>
        <v>0</v>
      </c>
      <c r="BF322" s="60" t="str">
        <f t="shared" si="24"/>
        <v>No programación, No avance</v>
      </c>
    </row>
    <row r="323" spans="2:59" s="2" customFormat="1" ht="60.75" hidden="1" customHeight="1">
      <c r="B323" s="44" t="s">
        <v>362</v>
      </c>
      <c r="C323" s="27" t="s">
        <v>2524</v>
      </c>
      <c r="D323" s="664"/>
      <c r="E323" s="661"/>
      <c r="F323" s="661"/>
      <c r="G323" s="414" t="s">
        <v>2525</v>
      </c>
      <c r="H323" s="414" t="s">
        <v>2501</v>
      </c>
      <c r="I323" s="414">
        <v>0.4</v>
      </c>
      <c r="J323" s="414" t="s">
        <v>361</v>
      </c>
      <c r="K323" s="414" t="s">
        <v>73</v>
      </c>
      <c r="L323" s="414" t="s">
        <v>72</v>
      </c>
      <c r="M323" s="414" t="s">
        <v>1150</v>
      </c>
      <c r="N323" s="414" t="s">
        <v>2492</v>
      </c>
      <c r="O323" s="59">
        <v>44197</v>
      </c>
      <c r="P323" s="59">
        <v>44561</v>
      </c>
      <c r="Q323" s="414">
        <f t="shared" si="25"/>
        <v>0</v>
      </c>
      <c r="R323" s="414">
        <v>5</v>
      </c>
      <c r="S323" s="142">
        <f t="shared" si="23"/>
        <v>5</v>
      </c>
      <c r="T323" s="414">
        <v>0</v>
      </c>
      <c r="U323" s="78">
        <v>0</v>
      </c>
      <c r="V323" s="414" t="s">
        <v>2516</v>
      </c>
      <c r="W323" s="414">
        <v>0</v>
      </c>
      <c r="X323" s="78">
        <v>0</v>
      </c>
      <c r="Y323" s="414" t="s">
        <v>2517</v>
      </c>
      <c r="Z323" s="414">
        <v>0</v>
      </c>
      <c r="AA323" s="117">
        <v>0</v>
      </c>
      <c r="AB323" s="359" t="s">
        <v>2526</v>
      </c>
      <c r="AC323" s="414">
        <v>0</v>
      </c>
      <c r="AD323" s="78">
        <v>0</v>
      </c>
      <c r="AE323" s="359" t="s">
        <v>365</v>
      </c>
      <c r="AF323" s="414">
        <v>0</v>
      </c>
      <c r="AG323" s="270">
        <v>0</v>
      </c>
      <c r="AH323" s="216" t="s">
        <v>2519</v>
      </c>
      <c r="AI323" s="414">
        <v>0</v>
      </c>
      <c r="AJ323" s="414">
        <v>0</v>
      </c>
      <c r="AK323" s="414" t="s">
        <v>2520</v>
      </c>
      <c r="AL323" s="414">
        <v>0</v>
      </c>
      <c r="AM323" s="414"/>
      <c r="AN323" s="414"/>
      <c r="AO323" s="414">
        <v>0</v>
      </c>
      <c r="AP323" s="414"/>
      <c r="AQ323" s="414"/>
      <c r="AR323" s="414">
        <v>0</v>
      </c>
      <c r="AS323" s="414"/>
      <c r="AT323" s="414"/>
      <c r="AU323" s="414">
        <v>2</v>
      </c>
      <c r="AV323" s="414"/>
      <c r="AW323" s="414"/>
      <c r="AX323" s="414">
        <v>0</v>
      </c>
      <c r="AY323" s="414"/>
      <c r="AZ323" s="414"/>
      <c r="BA323" s="137">
        <v>3</v>
      </c>
      <c r="BB323" s="142"/>
      <c r="BC323" s="142"/>
      <c r="BD323" s="413">
        <f t="shared" si="26"/>
        <v>0</v>
      </c>
      <c r="BE323" s="413">
        <f t="shared" si="27"/>
        <v>0</v>
      </c>
      <c r="BF323" s="60" t="str">
        <f t="shared" si="24"/>
        <v>No programación, No avance</v>
      </c>
    </row>
    <row r="324" spans="2:59" s="2" customFormat="1" ht="60.75" hidden="1" customHeight="1">
      <c r="B324" s="44" t="s">
        <v>366</v>
      </c>
      <c r="C324" s="27" t="s">
        <v>2527</v>
      </c>
      <c r="D324" s="664"/>
      <c r="E324" s="661" t="s">
        <v>367</v>
      </c>
      <c r="F324" s="661" t="s">
        <v>2528</v>
      </c>
      <c r="G324" s="414" t="s">
        <v>2529</v>
      </c>
      <c r="H324" s="414" t="s">
        <v>472</v>
      </c>
      <c r="I324" s="414">
        <v>0.5</v>
      </c>
      <c r="J324" s="414" t="s">
        <v>361</v>
      </c>
      <c r="K324" s="414" t="s">
        <v>73</v>
      </c>
      <c r="L324" s="414" t="s">
        <v>72</v>
      </c>
      <c r="M324" s="414" t="s">
        <v>1150</v>
      </c>
      <c r="N324" s="414" t="s">
        <v>2530</v>
      </c>
      <c r="O324" s="59">
        <v>44197</v>
      </c>
      <c r="P324" s="59">
        <v>44561</v>
      </c>
      <c r="Q324" s="414">
        <f t="shared" si="25"/>
        <v>1</v>
      </c>
      <c r="R324" s="414">
        <v>1</v>
      </c>
      <c r="S324" s="142">
        <f t="shared" si="23"/>
        <v>1</v>
      </c>
      <c r="T324" s="414">
        <v>0</v>
      </c>
      <c r="U324" s="78">
        <v>0</v>
      </c>
      <c r="V324" s="414" t="s">
        <v>2531</v>
      </c>
      <c r="W324" s="414">
        <v>0</v>
      </c>
      <c r="X324" s="78">
        <v>0</v>
      </c>
      <c r="Y324" s="414" t="s">
        <v>2531</v>
      </c>
      <c r="Z324" s="63">
        <v>1</v>
      </c>
      <c r="AA324" s="117">
        <v>1</v>
      </c>
      <c r="AB324" s="359" t="s">
        <v>2532</v>
      </c>
      <c r="AC324" s="414">
        <v>0</v>
      </c>
      <c r="AD324" s="78">
        <v>0</v>
      </c>
      <c r="AE324" s="361" t="s">
        <v>2533</v>
      </c>
      <c r="AF324" s="414">
        <v>0</v>
      </c>
      <c r="AG324" s="270">
        <v>0</v>
      </c>
      <c r="AH324" s="216" t="s">
        <v>2534</v>
      </c>
      <c r="AI324" s="414">
        <v>0</v>
      </c>
      <c r="AJ324" s="414">
        <v>0</v>
      </c>
      <c r="AK324" s="414" t="s">
        <v>2535</v>
      </c>
      <c r="AL324" s="414">
        <v>0</v>
      </c>
      <c r="AM324" s="414"/>
      <c r="AN324" s="414"/>
      <c r="AO324" s="414">
        <v>0</v>
      </c>
      <c r="AP324" s="414"/>
      <c r="AQ324" s="414"/>
      <c r="AR324" s="414">
        <v>0</v>
      </c>
      <c r="AS324" s="414"/>
      <c r="AT324" s="414"/>
      <c r="AU324" s="414">
        <v>0</v>
      </c>
      <c r="AV324" s="414"/>
      <c r="AW324" s="414"/>
      <c r="AX324" s="414">
        <v>0</v>
      </c>
      <c r="AY324" s="414"/>
      <c r="AZ324" s="414"/>
      <c r="BA324" s="137">
        <v>0</v>
      </c>
      <c r="BB324" s="142"/>
      <c r="BC324" s="142"/>
      <c r="BD324" s="413">
        <f t="shared" si="26"/>
        <v>1</v>
      </c>
      <c r="BE324" s="413">
        <f t="shared" si="27"/>
        <v>1</v>
      </c>
      <c r="BF324" s="60">
        <f t="shared" si="24"/>
        <v>1</v>
      </c>
    </row>
    <row r="325" spans="2:59" s="2" customFormat="1" ht="60.75" hidden="1" customHeight="1" thickBot="1">
      <c r="B325" s="44" t="s">
        <v>366</v>
      </c>
      <c r="C325" s="27" t="s">
        <v>2536</v>
      </c>
      <c r="D325" s="664"/>
      <c r="E325" s="661"/>
      <c r="F325" s="661"/>
      <c r="G325" s="414" t="s">
        <v>2537</v>
      </c>
      <c r="H325" s="414" t="s">
        <v>472</v>
      </c>
      <c r="I325" s="414">
        <v>0.2</v>
      </c>
      <c r="J325" s="414" t="s">
        <v>361</v>
      </c>
      <c r="K325" s="414" t="s">
        <v>73</v>
      </c>
      <c r="L325" s="414" t="s">
        <v>72</v>
      </c>
      <c r="M325" s="414" t="s">
        <v>1150</v>
      </c>
      <c r="N325" s="414" t="s">
        <v>2538</v>
      </c>
      <c r="O325" s="59">
        <v>44197</v>
      </c>
      <c r="P325" s="59">
        <v>44561</v>
      </c>
      <c r="Q325" s="414">
        <f t="shared" si="25"/>
        <v>0.99999999999999889</v>
      </c>
      <c r="R325" s="414">
        <v>10</v>
      </c>
      <c r="S325" s="142">
        <f t="shared" si="23"/>
        <v>1</v>
      </c>
      <c r="T325" s="414">
        <v>0</v>
      </c>
      <c r="U325" s="78">
        <v>0</v>
      </c>
      <c r="V325" s="414" t="s">
        <v>2539</v>
      </c>
      <c r="W325" s="414">
        <v>0</v>
      </c>
      <c r="X325" s="78">
        <v>0</v>
      </c>
      <c r="Y325" s="414" t="s">
        <v>2539</v>
      </c>
      <c r="Z325" s="414">
        <v>0</v>
      </c>
      <c r="AA325" s="117">
        <v>0</v>
      </c>
      <c r="AB325" s="359" t="s">
        <v>2540</v>
      </c>
      <c r="AC325" s="414">
        <f>3/R325</f>
        <v>0.3</v>
      </c>
      <c r="AD325" s="63">
        <f>+(3.33333333333333)*AC325</f>
        <v>0.99999999999999889</v>
      </c>
      <c r="AE325" s="361" t="s">
        <v>2541</v>
      </c>
      <c r="AF325" s="414">
        <f>3/R325</f>
        <v>0.3</v>
      </c>
      <c r="AG325" s="270">
        <v>0</v>
      </c>
      <c r="AH325" s="216" t="s">
        <v>2542</v>
      </c>
      <c r="AI325" s="414">
        <f>4/R325</f>
        <v>0.4</v>
      </c>
      <c r="AJ325" s="414">
        <v>0</v>
      </c>
      <c r="AK325" s="414" t="s">
        <v>2543</v>
      </c>
      <c r="AL325" s="414">
        <v>0</v>
      </c>
      <c r="AM325" s="414"/>
      <c r="AN325" s="414"/>
      <c r="AO325" s="414">
        <v>0</v>
      </c>
      <c r="AP325" s="414"/>
      <c r="AQ325" s="414"/>
      <c r="AR325" s="414">
        <v>0</v>
      </c>
      <c r="AS325" s="414"/>
      <c r="AT325" s="414"/>
      <c r="AU325" s="414">
        <v>0</v>
      </c>
      <c r="AV325" s="414"/>
      <c r="AW325" s="414"/>
      <c r="AX325" s="414">
        <v>0</v>
      </c>
      <c r="AY325" s="414"/>
      <c r="AZ325" s="414"/>
      <c r="BA325" s="137">
        <v>0</v>
      </c>
      <c r="BB325" s="142"/>
      <c r="BC325" s="142"/>
      <c r="BD325" s="413">
        <f t="shared" si="26"/>
        <v>1</v>
      </c>
      <c r="BE325" s="413">
        <f t="shared" si="27"/>
        <v>0.99999999999999889</v>
      </c>
      <c r="BF325" s="60">
        <f t="shared" si="24"/>
        <v>0.99999999999999889</v>
      </c>
    </row>
    <row r="326" spans="2:59" s="2" customFormat="1" ht="60.75" hidden="1" customHeight="1">
      <c r="B326" s="44" t="s">
        <v>366</v>
      </c>
      <c r="C326" s="27" t="s">
        <v>2544</v>
      </c>
      <c r="D326" s="664"/>
      <c r="E326" s="661"/>
      <c r="F326" s="661"/>
      <c r="G326" s="414" t="s">
        <v>2545</v>
      </c>
      <c r="H326" s="414" t="s">
        <v>472</v>
      </c>
      <c r="I326" s="414">
        <v>0.3</v>
      </c>
      <c r="J326" s="414" t="s">
        <v>361</v>
      </c>
      <c r="K326" s="414" t="s">
        <v>73</v>
      </c>
      <c r="L326" s="414" t="s">
        <v>72</v>
      </c>
      <c r="M326" s="414" t="s">
        <v>2546</v>
      </c>
      <c r="N326" s="414" t="s">
        <v>2547</v>
      </c>
      <c r="O326" s="59">
        <v>44197</v>
      </c>
      <c r="P326" s="59">
        <v>44561</v>
      </c>
      <c r="Q326" s="414">
        <f t="shared" si="25"/>
        <v>0</v>
      </c>
      <c r="R326" s="414">
        <v>1</v>
      </c>
      <c r="S326" s="142">
        <f t="shared" si="23"/>
        <v>1</v>
      </c>
      <c r="T326" s="414">
        <v>0</v>
      </c>
      <c r="U326" s="78">
        <v>0</v>
      </c>
      <c r="V326" s="414" t="s">
        <v>2548</v>
      </c>
      <c r="W326" s="414">
        <v>0</v>
      </c>
      <c r="X326" s="78">
        <v>0</v>
      </c>
      <c r="Y326" s="414" t="s">
        <v>2548</v>
      </c>
      <c r="Z326" s="414">
        <v>0</v>
      </c>
      <c r="AA326" s="117">
        <v>0</v>
      </c>
      <c r="AB326" s="359" t="s">
        <v>2549</v>
      </c>
      <c r="AC326" s="414">
        <v>0</v>
      </c>
      <c r="AD326" s="360">
        <v>0</v>
      </c>
      <c r="AE326" s="361" t="s">
        <v>2550</v>
      </c>
      <c r="AF326" s="414">
        <v>0</v>
      </c>
      <c r="AG326" s="270">
        <v>0</v>
      </c>
      <c r="AH326" s="216" t="s">
        <v>2551</v>
      </c>
      <c r="AI326" s="414">
        <v>0</v>
      </c>
      <c r="AJ326" s="414">
        <v>0</v>
      </c>
      <c r="AK326" s="414" t="s">
        <v>2552</v>
      </c>
      <c r="AL326" s="414">
        <v>0</v>
      </c>
      <c r="AM326" s="414"/>
      <c r="AN326" s="414"/>
      <c r="AO326" s="414">
        <v>0</v>
      </c>
      <c r="AP326" s="414"/>
      <c r="AQ326" s="414"/>
      <c r="AR326" s="414">
        <v>0</v>
      </c>
      <c r="AS326" s="414"/>
      <c r="AT326" s="414"/>
      <c r="AU326" s="414">
        <v>0</v>
      </c>
      <c r="AV326" s="414"/>
      <c r="AW326" s="414"/>
      <c r="AX326" s="414">
        <v>1</v>
      </c>
      <c r="AY326" s="414"/>
      <c r="AZ326" s="414"/>
      <c r="BA326" s="137">
        <v>0</v>
      </c>
      <c r="BB326" s="142"/>
      <c r="BC326" s="142"/>
      <c r="BD326" s="413">
        <f t="shared" si="26"/>
        <v>0</v>
      </c>
      <c r="BE326" s="413">
        <f t="shared" si="27"/>
        <v>0</v>
      </c>
      <c r="BF326" s="60" t="str">
        <f t="shared" si="24"/>
        <v>No programación, No avance</v>
      </c>
    </row>
    <row r="327" spans="2:59" s="2" customFormat="1" ht="60.75" hidden="1" customHeight="1">
      <c r="B327" s="44" t="s">
        <v>368</v>
      </c>
      <c r="C327" s="27" t="s">
        <v>2553</v>
      </c>
      <c r="D327" s="664"/>
      <c r="E327" s="661" t="s">
        <v>369</v>
      </c>
      <c r="F327" s="661" t="s">
        <v>2554</v>
      </c>
      <c r="G327" s="414" t="s">
        <v>2555</v>
      </c>
      <c r="H327" s="414" t="s">
        <v>472</v>
      </c>
      <c r="I327" s="414">
        <v>0.6</v>
      </c>
      <c r="J327" s="414" t="s">
        <v>361</v>
      </c>
      <c r="K327" s="414" t="s">
        <v>73</v>
      </c>
      <c r="L327" s="414" t="s">
        <v>72</v>
      </c>
      <c r="M327" s="414" t="s">
        <v>2556</v>
      </c>
      <c r="N327" s="414" t="s">
        <v>2557</v>
      </c>
      <c r="O327" s="59">
        <v>44197</v>
      </c>
      <c r="P327" s="59">
        <v>44561</v>
      </c>
      <c r="Q327" s="414">
        <f t="shared" si="25"/>
        <v>0.5</v>
      </c>
      <c r="R327" s="414">
        <v>2</v>
      </c>
      <c r="S327" s="142">
        <f t="shared" si="23"/>
        <v>2</v>
      </c>
      <c r="T327" s="414">
        <v>0</v>
      </c>
      <c r="U327" s="78">
        <v>0</v>
      </c>
      <c r="V327" s="414" t="s">
        <v>2558</v>
      </c>
      <c r="W327" s="414">
        <v>0</v>
      </c>
      <c r="X327" s="78">
        <v>0</v>
      </c>
      <c r="Y327" s="414" t="s">
        <v>2558</v>
      </c>
      <c r="Z327" s="414">
        <v>0</v>
      </c>
      <c r="AA327" s="117">
        <v>0</v>
      </c>
      <c r="AB327" s="359" t="s">
        <v>2559</v>
      </c>
      <c r="AC327" s="414">
        <v>0</v>
      </c>
      <c r="AD327" s="360">
        <v>0</v>
      </c>
      <c r="AE327" s="361" t="s">
        <v>2560</v>
      </c>
      <c r="AF327" s="414">
        <v>0</v>
      </c>
      <c r="AG327" s="270">
        <v>0</v>
      </c>
      <c r="AH327" s="216" t="s">
        <v>2561</v>
      </c>
      <c r="AI327" s="414">
        <v>0</v>
      </c>
      <c r="AJ327" s="414">
        <f>1/R327</f>
        <v>0.5</v>
      </c>
      <c r="AK327" s="414" t="s">
        <v>2562</v>
      </c>
      <c r="AL327" s="414">
        <v>1</v>
      </c>
      <c r="AM327" s="414"/>
      <c r="AN327" s="414"/>
      <c r="AO327" s="414">
        <v>0</v>
      </c>
      <c r="AP327" s="414"/>
      <c r="AQ327" s="414"/>
      <c r="AR327" s="414">
        <v>0</v>
      </c>
      <c r="AS327" s="414"/>
      <c r="AT327" s="414"/>
      <c r="AU327" s="414">
        <v>1</v>
      </c>
      <c r="AV327" s="414"/>
      <c r="AW327" s="414"/>
      <c r="AX327" s="414">
        <v>0</v>
      </c>
      <c r="AY327" s="414"/>
      <c r="AZ327" s="414"/>
      <c r="BA327" s="137">
        <v>0</v>
      </c>
      <c r="BB327" s="142"/>
      <c r="BC327" s="142"/>
      <c r="BD327" s="413">
        <f t="shared" si="26"/>
        <v>0</v>
      </c>
      <c r="BE327" s="413">
        <f t="shared" si="27"/>
        <v>0.5</v>
      </c>
      <c r="BF327" s="60">
        <f t="shared" si="24"/>
        <v>0.25</v>
      </c>
    </row>
    <row r="328" spans="2:59" s="2" customFormat="1" ht="60.75" hidden="1" customHeight="1">
      <c r="B328" s="44" t="s">
        <v>368</v>
      </c>
      <c r="C328" s="27" t="s">
        <v>2563</v>
      </c>
      <c r="D328" s="665"/>
      <c r="E328" s="662"/>
      <c r="F328" s="662"/>
      <c r="G328" s="415" t="s">
        <v>2564</v>
      </c>
      <c r="H328" s="415" t="s">
        <v>472</v>
      </c>
      <c r="I328" s="415">
        <v>0.4</v>
      </c>
      <c r="J328" s="415" t="s">
        <v>361</v>
      </c>
      <c r="K328" s="415" t="s">
        <v>73</v>
      </c>
      <c r="L328" s="415" t="s">
        <v>72</v>
      </c>
      <c r="M328" s="415" t="s">
        <v>2556</v>
      </c>
      <c r="N328" s="415" t="s">
        <v>2557</v>
      </c>
      <c r="O328" s="64">
        <v>44197</v>
      </c>
      <c r="P328" s="64">
        <v>44561</v>
      </c>
      <c r="Q328" s="415">
        <f t="shared" si="25"/>
        <v>0.5</v>
      </c>
      <c r="R328" s="415">
        <v>2</v>
      </c>
      <c r="S328" s="66">
        <f t="shared" si="23"/>
        <v>2</v>
      </c>
      <c r="T328" s="415">
        <v>0</v>
      </c>
      <c r="U328" s="218">
        <v>0</v>
      </c>
      <c r="V328" s="415" t="s">
        <v>370</v>
      </c>
      <c r="W328" s="415">
        <v>0</v>
      </c>
      <c r="X328" s="218">
        <v>0</v>
      </c>
      <c r="Y328" s="415" t="s">
        <v>370</v>
      </c>
      <c r="Z328" s="415">
        <v>0</v>
      </c>
      <c r="AA328" s="219">
        <v>0</v>
      </c>
      <c r="AB328" s="362" t="s">
        <v>2565</v>
      </c>
      <c r="AC328" s="415">
        <v>0</v>
      </c>
      <c r="AD328" s="363">
        <v>0</v>
      </c>
      <c r="AE328" s="364" t="s">
        <v>2566</v>
      </c>
      <c r="AF328" s="415">
        <v>0</v>
      </c>
      <c r="AG328" s="271">
        <v>0</v>
      </c>
      <c r="AH328" s="220" t="s">
        <v>2567</v>
      </c>
      <c r="AI328" s="415">
        <v>0</v>
      </c>
      <c r="AJ328" s="415">
        <f>1/R328</f>
        <v>0.5</v>
      </c>
      <c r="AK328" s="415" t="s">
        <v>2568</v>
      </c>
      <c r="AL328" s="415">
        <v>0</v>
      </c>
      <c r="AM328" s="415"/>
      <c r="AN328" s="415"/>
      <c r="AO328" s="415">
        <v>0</v>
      </c>
      <c r="AP328" s="415"/>
      <c r="AQ328" s="415"/>
      <c r="AR328" s="415">
        <v>1</v>
      </c>
      <c r="AS328" s="415"/>
      <c r="AT328" s="415"/>
      <c r="AU328" s="415">
        <v>0</v>
      </c>
      <c r="AV328" s="415"/>
      <c r="AW328" s="415"/>
      <c r="AX328" s="415">
        <v>0</v>
      </c>
      <c r="AY328" s="415"/>
      <c r="AZ328" s="415"/>
      <c r="BA328" s="192">
        <v>1</v>
      </c>
      <c r="BB328" s="66"/>
      <c r="BC328" s="66"/>
      <c r="BD328" s="413">
        <f t="shared" si="26"/>
        <v>0</v>
      </c>
      <c r="BE328" s="413">
        <f t="shared" si="27"/>
        <v>0.5</v>
      </c>
      <c r="BF328" s="67">
        <f t="shared" si="24"/>
        <v>0.25</v>
      </c>
    </row>
    <row r="329" spans="2:59" s="2" customFormat="1" ht="74.25" customHeight="1">
      <c r="B329" s="133" t="s">
        <v>371</v>
      </c>
      <c r="C329" s="134" t="s">
        <v>2569</v>
      </c>
      <c r="D329" s="672" t="s">
        <v>30</v>
      </c>
      <c r="E329" s="647" t="s">
        <v>372</v>
      </c>
      <c r="F329" s="647" t="s">
        <v>2570</v>
      </c>
      <c r="G329" s="409" t="s">
        <v>2571</v>
      </c>
      <c r="H329" s="409" t="s">
        <v>472</v>
      </c>
      <c r="I329" s="409">
        <v>0.25</v>
      </c>
      <c r="J329" s="409" t="s">
        <v>374</v>
      </c>
      <c r="K329" s="409" t="s">
        <v>73</v>
      </c>
      <c r="L329" s="409" t="s">
        <v>1916</v>
      </c>
      <c r="M329" s="409" t="s">
        <v>2572</v>
      </c>
      <c r="N329" s="409" t="s">
        <v>2573</v>
      </c>
      <c r="O329" s="37">
        <v>44197</v>
      </c>
      <c r="P329" s="37">
        <v>44561</v>
      </c>
      <c r="Q329" s="409">
        <f t="shared" si="25"/>
        <v>5.7619047619047619</v>
      </c>
      <c r="R329" s="409">
        <v>6</v>
      </c>
      <c r="S329" s="412">
        <f t="shared" si="23"/>
        <v>3.5</v>
      </c>
      <c r="T329" s="409">
        <v>0</v>
      </c>
      <c r="U329" s="54">
        <f>5/S329</f>
        <v>1.4285714285714286</v>
      </c>
      <c r="V329" s="54" t="s">
        <v>2574</v>
      </c>
      <c r="W329" s="409">
        <v>0</v>
      </c>
      <c r="X329" s="409">
        <f>21/R329</f>
        <v>3.5</v>
      </c>
      <c r="Y329" s="409" t="s">
        <v>2575</v>
      </c>
      <c r="Z329" s="409">
        <v>0</v>
      </c>
      <c r="AA329" s="120">
        <f>5/R329</f>
        <v>0.83333333333333337</v>
      </c>
      <c r="AB329" s="120" t="s">
        <v>2574</v>
      </c>
      <c r="AC329" s="409">
        <v>0</v>
      </c>
      <c r="AD329" s="54">
        <v>0</v>
      </c>
      <c r="AE329" s="54" t="s">
        <v>2576</v>
      </c>
      <c r="AF329" s="409">
        <v>0</v>
      </c>
      <c r="AG329" s="250">
        <v>0</v>
      </c>
      <c r="AH329" s="152" t="s">
        <v>2577</v>
      </c>
      <c r="AI329" s="409">
        <f>3/R329</f>
        <v>0.5</v>
      </c>
      <c r="AJ329" s="409">
        <v>0</v>
      </c>
      <c r="AK329" s="409" t="s">
        <v>2578</v>
      </c>
      <c r="AL329" s="409">
        <v>0</v>
      </c>
      <c r="AM329" s="409"/>
      <c r="AN329" s="409"/>
      <c r="AO329" s="409">
        <v>0</v>
      </c>
      <c r="AP329" s="409"/>
      <c r="AQ329" s="409"/>
      <c r="AR329" s="409">
        <v>0</v>
      </c>
      <c r="AS329" s="409"/>
      <c r="AT329" s="409"/>
      <c r="AU329" s="409">
        <v>0</v>
      </c>
      <c r="AV329" s="409"/>
      <c r="AW329" s="409"/>
      <c r="AX329" s="409">
        <v>0</v>
      </c>
      <c r="AY329" s="409"/>
      <c r="AZ329" s="409"/>
      <c r="BA329" s="175">
        <v>3</v>
      </c>
      <c r="BB329" s="412"/>
      <c r="BC329" s="412"/>
      <c r="BD329" s="413">
        <f t="shared" si="26"/>
        <v>0.5</v>
      </c>
      <c r="BE329" s="413">
        <f>+U329+X329+AA329+AD329+AG329+AJ329</f>
        <v>5.7619047619047619</v>
      </c>
      <c r="BF329" s="131">
        <v>31</v>
      </c>
      <c r="BG329" s="2">
        <f>+AVERAGE(BF329:BF332)</f>
        <v>7.9550000000000001</v>
      </c>
    </row>
    <row r="330" spans="2:59" s="2" customFormat="1" ht="74.25" hidden="1" customHeight="1">
      <c r="B330" s="133" t="s">
        <v>371</v>
      </c>
      <c r="C330" s="134" t="s">
        <v>2579</v>
      </c>
      <c r="D330" s="673"/>
      <c r="E330" s="648"/>
      <c r="F330" s="648"/>
      <c r="G330" s="410" t="s">
        <v>2580</v>
      </c>
      <c r="H330" s="410" t="s">
        <v>472</v>
      </c>
      <c r="I330" s="410">
        <v>0.25</v>
      </c>
      <c r="J330" s="410" t="s">
        <v>374</v>
      </c>
      <c r="K330" s="410" t="s">
        <v>79</v>
      </c>
      <c r="L330" s="410" t="s">
        <v>2581</v>
      </c>
      <c r="M330" s="410" t="s">
        <v>2582</v>
      </c>
      <c r="N330" s="410" t="s">
        <v>2583</v>
      </c>
      <c r="O330" s="38">
        <v>44197</v>
      </c>
      <c r="P330" s="38">
        <v>44561</v>
      </c>
      <c r="Q330" s="410">
        <f>(+U330+X330+AA330+AD330+AG330+AJ330+AM330+AP330+AS330+AV330+AY330+BB330)/5</f>
        <v>6.9999999999999993E-2</v>
      </c>
      <c r="R330" s="410">
        <v>0.03</v>
      </c>
      <c r="S330" s="413">
        <f t="shared" si="23"/>
        <v>0.03</v>
      </c>
      <c r="T330" s="410">
        <v>0</v>
      </c>
      <c r="U330" s="49">
        <v>0</v>
      </c>
      <c r="V330" s="51" t="s">
        <v>2584</v>
      </c>
      <c r="W330" s="410">
        <v>0</v>
      </c>
      <c r="X330" s="45">
        <v>0</v>
      </c>
      <c r="Y330" s="410" t="s">
        <v>2585</v>
      </c>
      <c r="Z330" s="410">
        <v>0</v>
      </c>
      <c r="AA330" s="301">
        <v>0</v>
      </c>
      <c r="AB330" s="30" t="s">
        <v>2584</v>
      </c>
      <c r="AC330" s="410">
        <v>0</v>
      </c>
      <c r="AD330" s="281">
        <v>0.11</v>
      </c>
      <c r="AE330" s="51" t="s">
        <v>2586</v>
      </c>
      <c r="AF330" s="410">
        <v>0</v>
      </c>
      <c r="AG330" s="306">
        <v>0</v>
      </c>
      <c r="AH330" s="154" t="s">
        <v>2587</v>
      </c>
      <c r="AI330" s="45">
        <v>1.4999999999999999E-2</v>
      </c>
      <c r="AJ330" s="410" t="s">
        <v>2588</v>
      </c>
      <c r="AK330" s="410" t="s">
        <v>2589</v>
      </c>
      <c r="AL330" s="410">
        <v>0</v>
      </c>
      <c r="AM330" s="410"/>
      <c r="AN330" s="410"/>
      <c r="AO330" s="410">
        <v>0</v>
      </c>
      <c r="AP330" s="410"/>
      <c r="AQ330" s="410"/>
      <c r="AR330" s="410">
        <v>0</v>
      </c>
      <c r="AS330" s="410"/>
      <c r="AT330" s="410"/>
      <c r="AU330" s="410">
        <v>0</v>
      </c>
      <c r="AV330" s="410"/>
      <c r="AW330" s="410"/>
      <c r="AX330" s="410">
        <v>0</v>
      </c>
      <c r="AY330" s="410"/>
      <c r="AZ330" s="410"/>
      <c r="BA330" s="210">
        <v>1.4999999999999999E-2</v>
      </c>
      <c r="BB330" s="413"/>
      <c r="BC330" s="413"/>
      <c r="BD330" s="413">
        <f t="shared" si="26"/>
        <v>1.4999999999999999E-2</v>
      </c>
      <c r="BE330" s="413">
        <f t="shared" si="27"/>
        <v>0.35</v>
      </c>
      <c r="BF330" s="132">
        <v>0.27</v>
      </c>
    </row>
    <row r="331" spans="2:59" s="2" customFormat="1" ht="74.25" hidden="1" customHeight="1">
      <c r="B331" s="133" t="s">
        <v>371</v>
      </c>
      <c r="C331" s="134" t="s">
        <v>2590</v>
      </c>
      <c r="D331" s="673"/>
      <c r="E331" s="648"/>
      <c r="F331" s="648"/>
      <c r="G331" s="410" t="s">
        <v>2591</v>
      </c>
      <c r="H331" s="410" t="s">
        <v>472</v>
      </c>
      <c r="I331" s="410">
        <v>2.5000000000000001E-2</v>
      </c>
      <c r="J331" s="410" t="s">
        <v>374</v>
      </c>
      <c r="K331" s="410" t="s">
        <v>73</v>
      </c>
      <c r="L331" s="410" t="s">
        <v>2592</v>
      </c>
      <c r="M331" s="410" t="s">
        <v>2593</v>
      </c>
      <c r="N331" s="410" t="s">
        <v>2583</v>
      </c>
      <c r="O331" s="38">
        <v>44197</v>
      </c>
      <c r="P331" s="38">
        <v>44561</v>
      </c>
      <c r="Q331" s="410">
        <f t="shared" si="25"/>
        <v>0</v>
      </c>
      <c r="R331" s="410">
        <v>0</v>
      </c>
      <c r="S331" s="413">
        <f t="shared" si="23"/>
        <v>4</v>
      </c>
      <c r="T331" s="410">
        <v>0</v>
      </c>
      <c r="U331" s="410">
        <v>0</v>
      </c>
      <c r="V331" s="410" t="s">
        <v>2594</v>
      </c>
      <c r="W331" s="410">
        <v>0</v>
      </c>
      <c r="X331" s="410">
        <v>0</v>
      </c>
      <c r="Y331" s="410"/>
      <c r="Z331" s="410">
        <v>0</v>
      </c>
      <c r="AA331" s="410">
        <v>0</v>
      </c>
      <c r="AB331" s="410"/>
      <c r="AC331" s="410">
        <v>0</v>
      </c>
      <c r="AD331" s="51">
        <v>0</v>
      </c>
      <c r="AE331" s="51" t="s">
        <v>143</v>
      </c>
      <c r="AF331" s="410">
        <v>0</v>
      </c>
      <c r="AG331" s="241">
        <v>0</v>
      </c>
      <c r="AH331" s="154" t="s">
        <v>143</v>
      </c>
      <c r="AI331" s="410">
        <v>2</v>
      </c>
      <c r="AJ331" s="410">
        <v>0</v>
      </c>
      <c r="AK331" s="410" t="s">
        <v>143</v>
      </c>
      <c r="AL331" s="410">
        <v>0</v>
      </c>
      <c r="AM331" s="410"/>
      <c r="AN331" s="410"/>
      <c r="AO331" s="410">
        <v>0</v>
      </c>
      <c r="AP331" s="410"/>
      <c r="AQ331" s="410"/>
      <c r="AR331" s="410">
        <v>0</v>
      </c>
      <c r="AS331" s="410"/>
      <c r="AT331" s="410"/>
      <c r="AU331" s="410">
        <v>0</v>
      </c>
      <c r="AV331" s="410"/>
      <c r="AW331" s="410"/>
      <c r="AX331" s="410">
        <v>0</v>
      </c>
      <c r="AY331" s="410"/>
      <c r="AZ331" s="410"/>
      <c r="BA331" s="137">
        <v>2</v>
      </c>
      <c r="BB331" s="413"/>
      <c r="BC331" s="413"/>
      <c r="BD331" s="413">
        <f t="shared" si="26"/>
        <v>2</v>
      </c>
      <c r="BE331" s="413">
        <f t="shared" si="27"/>
        <v>0</v>
      </c>
      <c r="BF331" s="132">
        <f t="shared" si="24"/>
        <v>0</v>
      </c>
      <c r="BG331" s="47"/>
    </row>
    <row r="332" spans="2:59" s="2" customFormat="1" ht="74.25" hidden="1" customHeight="1">
      <c r="B332" s="133" t="s">
        <v>371</v>
      </c>
      <c r="C332" s="134" t="s">
        <v>2595</v>
      </c>
      <c r="D332" s="674"/>
      <c r="E332" s="649"/>
      <c r="F332" s="649"/>
      <c r="G332" s="411" t="s">
        <v>2596</v>
      </c>
      <c r="H332" s="411" t="s">
        <v>472</v>
      </c>
      <c r="I332" s="411">
        <v>0.25</v>
      </c>
      <c r="J332" s="411" t="s">
        <v>374</v>
      </c>
      <c r="K332" s="411" t="s">
        <v>79</v>
      </c>
      <c r="L332" s="411" t="s">
        <v>2597</v>
      </c>
      <c r="M332" s="411" t="s">
        <v>2598</v>
      </c>
      <c r="N332" s="411" t="s">
        <v>2583</v>
      </c>
      <c r="O332" s="42">
        <v>44197</v>
      </c>
      <c r="P332" s="42">
        <v>44561</v>
      </c>
      <c r="Q332" s="411">
        <f>(+U332+X332+AA332+AD332+AG332+AJ332+AM332+AP332+AS332+AV332+AY332+BB332)/5</f>
        <v>6.8999999999999992E-2</v>
      </c>
      <c r="R332" s="411">
        <v>0.01</v>
      </c>
      <c r="S332" s="143">
        <f t="shared" si="23"/>
        <v>0.01</v>
      </c>
      <c r="T332" s="411">
        <v>0</v>
      </c>
      <c r="U332" s="200">
        <v>0</v>
      </c>
      <c r="V332" s="176" t="s">
        <v>2599</v>
      </c>
      <c r="W332" s="411">
        <v>0</v>
      </c>
      <c r="X332" s="221">
        <v>0</v>
      </c>
      <c r="Y332" s="411" t="s">
        <v>2600</v>
      </c>
      <c r="Z332" s="411">
        <v>0</v>
      </c>
      <c r="AA332" s="300">
        <v>0.16500000000000001</v>
      </c>
      <c r="AB332" s="32" t="s">
        <v>2599</v>
      </c>
      <c r="AC332" s="411">
        <v>0</v>
      </c>
      <c r="AD332" s="282">
        <v>0.18</v>
      </c>
      <c r="AE332" s="176" t="s">
        <v>2601</v>
      </c>
      <c r="AF332" s="411">
        <v>0</v>
      </c>
      <c r="AG332" s="313">
        <v>0</v>
      </c>
      <c r="AH332" s="196" t="s">
        <v>2602</v>
      </c>
      <c r="AI332" s="411">
        <v>0</v>
      </c>
      <c r="AJ332" s="411">
        <v>0</v>
      </c>
      <c r="AK332" s="411" t="s">
        <v>2603</v>
      </c>
      <c r="AL332" s="411">
        <v>0</v>
      </c>
      <c r="AM332" s="411"/>
      <c r="AN332" s="411"/>
      <c r="AO332" s="411">
        <v>0</v>
      </c>
      <c r="AP332" s="411"/>
      <c r="AQ332" s="411"/>
      <c r="AR332" s="411">
        <v>0</v>
      </c>
      <c r="AS332" s="411"/>
      <c r="AT332" s="411"/>
      <c r="AU332" s="411">
        <v>0</v>
      </c>
      <c r="AV332" s="411"/>
      <c r="AW332" s="411"/>
      <c r="AX332" s="411">
        <v>0</v>
      </c>
      <c r="AY332" s="411"/>
      <c r="AZ332" s="411"/>
      <c r="BA332" s="177">
        <v>0.01</v>
      </c>
      <c r="BB332" s="143"/>
      <c r="BC332" s="143"/>
      <c r="BD332" s="413">
        <f t="shared" si="26"/>
        <v>0</v>
      </c>
      <c r="BE332" s="413">
        <f t="shared" si="27"/>
        <v>0.34499999999999997</v>
      </c>
      <c r="BF332" s="222">
        <v>0.55000000000000004</v>
      </c>
    </row>
    <row r="333" spans="2:59" s="2" customFormat="1" ht="51.75" hidden="1" customHeight="1">
      <c r="B333" s="44" t="s">
        <v>375</v>
      </c>
      <c r="C333" s="27" t="s">
        <v>2604</v>
      </c>
      <c r="D333" s="663" t="s">
        <v>31</v>
      </c>
      <c r="E333" s="660" t="s">
        <v>376</v>
      </c>
      <c r="F333" s="660" t="s">
        <v>2605</v>
      </c>
      <c r="G333" s="416" t="s">
        <v>2606</v>
      </c>
      <c r="H333" s="416" t="s">
        <v>2607</v>
      </c>
      <c r="I333" s="416">
        <v>0.25</v>
      </c>
      <c r="J333" s="416" t="s">
        <v>2608</v>
      </c>
      <c r="K333" s="416" t="s">
        <v>79</v>
      </c>
      <c r="L333" s="416" t="s">
        <v>2609</v>
      </c>
      <c r="M333" s="416" t="s">
        <v>2610</v>
      </c>
      <c r="N333" s="416" t="s">
        <v>2611</v>
      </c>
      <c r="O333" s="74">
        <v>44197</v>
      </c>
      <c r="P333" s="74">
        <v>44561</v>
      </c>
      <c r="Q333" s="416">
        <f t="shared" si="25"/>
        <v>1</v>
      </c>
      <c r="R333" s="416">
        <v>1</v>
      </c>
      <c r="S333" s="141">
        <f t="shared" si="23"/>
        <v>1.5</v>
      </c>
      <c r="T333" s="416">
        <v>0</v>
      </c>
      <c r="U333" s="416">
        <v>0</v>
      </c>
      <c r="V333" s="416" t="s">
        <v>2612</v>
      </c>
      <c r="W333" s="416">
        <v>0</v>
      </c>
      <c r="X333" s="291">
        <v>0</v>
      </c>
      <c r="Y333" s="416" t="s">
        <v>2612</v>
      </c>
      <c r="Z333" s="416">
        <v>0</v>
      </c>
      <c r="AA333" s="303">
        <v>0.25</v>
      </c>
      <c r="AB333" s="79" t="s">
        <v>2613</v>
      </c>
      <c r="AC333" s="416">
        <v>0.25</v>
      </c>
      <c r="AD333" s="365">
        <v>0.25</v>
      </c>
      <c r="AE333" s="79" t="s">
        <v>2614</v>
      </c>
      <c r="AF333" s="416">
        <v>0.25</v>
      </c>
      <c r="AG333" s="365">
        <v>0.25</v>
      </c>
      <c r="AH333" s="224" t="s">
        <v>2615</v>
      </c>
      <c r="AI333" s="416">
        <v>0</v>
      </c>
      <c r="AJ333" s="416">
        <v>0.25</v>
      </c>
      <c r="AK333" s="416" t="s">
        <v>2616</v>
      </c>
      <c r="AL333" s="416">
        <v>0</v>
      </c>
      <c r="AM333" s="416"/>
      <c r="AN333" s="416"/>
      <c r="AO333" s="416">
        <v>0</v>
      </c>
      <c r="AP333" s="416"/>
      <c r="AQ333" s="416"/>
      <c r="AR333" s="80">
        <v>1</v>
      </c>
      <c r="AS333" s="416"/>
      <c r="AT333" s="416"/>
      <c r="AU333" s="416">
        <v>0</v>
      </c>
      <c r="AV333" s="416"/>
      <c r="AW333" s="416"/>
      <c r="AX333" s="416">
        <v>0</v>
      </c>
      <c r="AY333" s="416"/>
      <c r="AZ333" s="416"/>
      <c r="BA333" s="175">
        <v>0</v>
      </c>
      <c r="BB333" s="141"/>
      <c r="BC333" s="141"/>
      <c r="BD333" s="413">
        <f t="shared" si="26"/>
        <v>0.5</v>
      </c>
      <c r="BE333" s="413">
        <f t="shared" si="27"/>
        <v>1</v>
      </c>
      <c r="BF333" s="75">
        <f t="shared" si="24"/>
        <v>2</v>
      </c>
      <c r="BG333" s="2">
        <f>+AVERAGE(BF333:BF340)</f>
        <v>1.383147252747253</v>
      </c>
    </row>
    <row r="334" spans="2:59" s="2" customFormat="1" ht="51.75" hidden="1" customHeight="1">
      <c r="B334" s="44" t="s">
        <v>375</v>
      </c>
      <c r="C334" s="27" t="s">
        <v>2617</v>
      </c>
      <c r="D334" s="664"/>
      <c r="E334" s="661"/>
      <c r="F334" s="661"/>
      <c r="G334" s="414" t="s">
        <v>2618</v>
      </c>
      <c r="H334" s="414" t="s">
        <v>2607</v>
      </c>
      <c r="I334" s="414">
        <v>0.25</v>
      </c>
      <c r="J334" s="414" t="s">
        <v>2608</v>
      </c>
      <c r="K334" s="414" t="s">
        <v>79</v>
      </c>
      <c r="L334" s="414" t="s">
        <v>2609</v>
      </c>
      <c r="M334" s="414" t="s">
        <v>2610</v>
      </c>
      <c r="N334" s="414" t="s">
        <v>2619</v>
      </c>
      <c r="O334" s="59">
        <v>44197</v>
      </c>
      <c r="P334" s="59">
        <v>44561</v>
      </c>
      <c r="Q334" s="414">
        <f t="shared" si="25"/>
        <v>1</v>
      </c>
      <c r="R334" s="414">
        <v>1</v>
      </c>
      <c r="S334" s="142">
        <f t="shared" si="23"/>
        <v>1.5</v>
      </c>
      <c r="T334" s="414">
        <v>0</v>
      </c>
      <c r="U334" s="414">
        <v>0</v>
      </c>
      <c r="V334" s="414" t="s">
        <v>2612</v>
      </c>
      <c r="W334" s="414">
        <v>0</v>
      </c>
      <c r="X334" s="283">
        <v>0</v>
      </c>
      <c r="Y334" s="414" t="s">
        <v>2612</v>
      </c>
      <c r="Z334" s="414">
        <v>0</v>
      </c>
      <c r="AA334" s="280">
        <v>0.25</v>
      </c>
      <c r="AB334" s="61" t="s">
        <v>2620</v>
      </c>
      <c r="AC334" s="414">
        <v>0.25</v>
      </c>
      <c r="AD334" s="62">
        <v>0.25</v>
      </c>
      <c r="AE334" s="61" t="s">
        <v>2621</v>
      </c>
      <c r="AF334" s="414">
        <v>0.25</v>
      </c>
      <c r="AG334" s="62">
        <v>0.25</v>
      </c>
      <c r="AH334" s="223" t="s">
        <v>2622</v>
      </c>
      <c r="AI334" s="414">
        <v>0</v>
      </c>
      <c r="AJ334" s="414">
        <v>0.25</v>
      </c>
      <c r="AK334" s="414" t="s">
        <v>2623</v>
      </c>
      <c r="AL334" s="414">
        <v>0</v>
      </c>
      <c r="AM334" s="414"/>
      <c r="AN334" s="414"/>
      <c r="AO334" s="414">
        <v>0</v>
      </c>
      <c r="AP334" s="414"/>
      <c r="AQ334" s="414"/>
      <c r="AR334" s="63">
        <v>1</v>
      </c>
      <c r="AS334" s="414"/>
      <c r="AT334" s="414"/>
      <c r="AU334" s="414">
        <v>0</v>
      </c>
      <c r="AV334" s="414"/>
      <c r="AW334" s="414"/>
      <c r="AX334" s="414">
        <v>0</v>
      </c>
      <c r="AY334" s="414"/>
      <c r="AZ334" s="414"/>
      <c r="BA334" s="137">
        <v>0</v>
      </c>
      <c r="BB334" s="142"/>
      <c r="BC334" s="142"/>
      <c r="BD334" s="413">
        <f t="shared" si="26"/>
        <v>0.5</v>
      </c>
      <c r="BE334" s="413">
        <f t="shared" si="27"/>
        <v>1</v>
      </c>
      <c r="BF334" s="60">
        <f t="shared" si="24"/>
        <v>2</v>
      </c>
    </row>
    <row r="335" spans="2:59" s="2" customFormat="1" ht="51.75" hidden="1" customHeight="1">
      <c r="B335" s="44" t="s">
        <v>375</v>
      </c>
      <c r="C335" s="27" t="s">
        <v>2624</v>
      </c>
      <c r="D335" s="664"/>
      <c r="E335" s="661"/>
      <c r="F335" s="661"/>
      <c r="G335" s="414" t="s">
        <v>2625</v>
      </c>
      <c r="H335" s="414" t="s">
        <v>2607</v>
      </c>
      <c r="I335" s="414">
        <v>0.25</v>
      </c>
      <c r="J335" s="414" t="s">
        <v>2608</v>
      </c>
      <c r="K335" s="414" t="s">
        <v>79</v>
      </c>
      <c r="L335" s="414" t="s">
        <v>2609</v>
      </c>
      <c r="M335" s="414" t="s">
        <v>2610</v>
      </c>
      <c r="N335" s="414" t="s">
        <v>2619</v>
      </c>
      <c r="O335" s="59">
        <v>44197</v>
      </c>
      <c r="P335" s="59">
        <v>44561</v>
      </c>
      <c r="Q335" s="414">
        <f t="shared" si="25"/>
        <v>0.75</v>
      </c>
      <c r="R335" s="414">
        <v>1</v>
      </c>
      <c r="S335" s="142">
        <f t="shared" si="23"/>
        <v>1.5</v>
      </c>
      <c r="T335" s="414">
        <v>0</v>
      </c>
      <c r="U335" s="414">
        <v>0</v>
      </c>
      <c r="V335" s="414" t="s">
        <v>2612</v>
      </c>
      <c r="W335" s="414">
        <v>0</v>
      </c>
      <c r="X335" s="283">
        <v>0</v>
      </c>
      <c r="Y335" s="414" t="s">
        <v>2612</v>
      </c>
      <c r="Z335" s="414">
        <v>0</v>
      </c>
      <c r="AA335" s="280">
        <v>0.25</v>
      </c>
      <c r="AB335" s="61" t="s">
        <v>2626</v>
      </c>
      <c r="AC335" s="414">
        <v>0.25</v>
      </c>
      <c r="AD335" s="62">
        <v>0.25</v>
      </c>
      <c r="AE335" s="61" t="s">
        <v>2627</v>
      </c>
      <c r="AF335" s="414">
        <v>0.25</v>
      </c>
      <c r="AG335" s="62">
        <v>0.25</v>
      </c>
      <c r="AH335" s="223" t="s">
        <v>2628</v>
      </c>
      <c r="AI335" s="414">
        <v>0</v>
      </c>
      <c r="AJ335" s="414">
        <v>0</v>
      </c>
      <c r="AK335" s="414" t="s">
        <v>2629</v>
      </c>
      <c r="AL335" s="414">
        <v>0</v>
      </c>
      <c r="AM335" s="414"/>
      <c r="AN335" s="414"/>
      <c r="AO335" s="414">
        <v>0</v>
      </c>
      <c r="AP335" s="414"/>
      <c r="AQ335" s="414"/>
      <c r="AR335" s="63">
        <v>1</v>
      </c>
      <c r="AS335" s="414"/>
      <c r="AT335" s="414"/>
      <c r="AU335" s="414">
        <v>0</v>
      </c>
      <c r="AV335" s="414"/>
      <c r="AW335" s="414"/>
      <c r="AX335" s="414">
        <v>0</v>
      </c>
      <c r="AY335" s="414"/>
      <c r="AZ335" s="414"/>
      <c r="BA335" s="137">
        <v>0</v>
      </c>
      <c r="BB335" s="142"/>
      <c r="BC335" s="142"/>
      <c r="BD335" s="413">
        <f t="shared" si="26"/>
        <v>0.5</v>
      </c>
      <c r="BE335" s="413">
        <f t="shared" si="27"/>
        <v>0.75</v>
      </c>
      <c r="BF335" s="60">
        <f t="shared" si="24"/>
        <v>1.5</v>
      </c>
    </row>
    <row r="336" spans="2:59" s="2" customFormat="1" ht="51.75" hidden="1" customHeight="1">
      <c r="B336" s="44" t="s">
        <v>375</v>
      </c>
      <c r="C336" s="27" t="s">
        <v>2630</v>
      </c>
      <c r="D336" s="664"/>
      <c r="E336" s="661"/>
      <c r="F336" s="661"/>
      <c r="G336" s="414" t="s">
        <v>2631</v>
      </c>
      <c r="H336" s="414" t="s">
        <v>2607</v>
      </c>
      <c r="I336" s="414">
        <v>0.05</v>
      </c>
      <c r="J336" s="414" t="s">
        <v>2608</v>
      </c>
      <c r="K336" s="414" t="s">
        <v>79</v>
      </c>
      <c r="L336" s="414" t="s">
        <v>2609</v>
      </c>
      <c r="M336" s="414" t="s">
        <v>2610</v>
      </c>
      <c r="N336" s="414" t="s">
        <v>2619</v>
      </c>
      <c r="O336" s="59">
        <v>44197</v>
      </c>
      <c r="P336" s="59">
        <v>44561</v>
      </c>
      <c r="Q336" s="414">
        <f t="shared" si="25"/>
        <v>0.5</v>
      </c>
      <c r="R336" s="414">
        <v>1</v>
      </c>
      <c r="S336" s="142">
        <f t="shared" si="23"/>
        <v>1.25</v>
      </c>
      <c r="T336" s="414">
        <v>0</v>
      </c>
      <c r="U336" s="414">
        <v>0</v>
      </c>
      <c r="V336" s="414" t="s">
        <v>2612</v>
      </c>
      <c r="W336" s="414">
        <v>0</v>
      </c>
      <c r="X336" s="283">
        <v>0</v>
      </c>
      <c r="Y336" s="414" t="s">
        <v>2612</v>
      </c>
      <c r="Z336" s="414">
        <v>0</v>
      </c>
      <c r="AA336" s="280">
        <v>0.25</v>
      </c>
      <c r="AB336" s="61" t="s">
        <v>2632</v>
      </c>
      <c r="AC336" s="414">
        <v>0.25</v>
      </c>
      <c r="AD336" s="62">
        <v>0.25</v>
      </c>
      <c r="AE336" s="61" t="s">
        <v>2633</v>
      </c>
      <c r="AF336" s="414">
        <v>0</v>
      </c>
      <c r="AG336" s="62">
        <v>0</v>
      </c>
      <c r="AH336" s="223" t="s">
        <v>2634</v>
      </c>
      <c r="AI336" s="414">
        <v>0</v>
      </c>
      <c r="AJ336" s="414">
        <v>0</v>
      </c>
      <c r="AK336" s="414" t="s">
        <v>2635</v>
      </c>
      <c r="AL336" s="414">
        <v>0</v>
      </c>
      <c r="AM336" s="414"/>
      <c r="AN336" s="414"/>
      <c r="AO336" s="414">
        <v>0</v>
      </c>
      <c r="AP336" s="414"/>
      <c r="AQ336" s="414"/>
      <c r="AR336" s="63">
        <v>1</v>
      </c>
      <c r="AS336" s="414"/>
      <c r="AT336" s="414"/>
      <c r="AU336" s="414">
        <v>0</v>
      </c>
      <c r="AV336" s="414"/>
      <c r="AW336" s="414"/>
      <c r="AX336" s="414">
        <v>0</v>
      </c>
      <c r="AY336" s="414"/>
      <c r="AZ336" s="414"/>
      <c r="BA336" s="137">
        <v>0</v>
      </c>
      <c r="BB336" s="142"/>
      <c r="BC336" s="142"/>
      <c r="BD336" s="413">
        <f t="shared" si="26"/>
        <v>0.25</v>
      </c>
      <c r="BE336" s="413">
        <f t="shared" si="27"/>
        <v>0.5</v>
      </c>
      <c r="BF336" s="60">
        <f t="shared" si="24"/>
        <v>2</v>
      </c>
    </row>
    <row r="337" spans="2:59" s="2" customFormat="1" ht="51.75" hidden="1" customHeight="1">
      <c r="B337" s="44" t="s">
        <v>375</v>
      </c>
      <c r="C337" s="27" t="s">
        <v>2636</v>
      </c>
      <c r="D337" s="664"/>
      <c r="E337" s="661"/>
      <c r="F337" s="661"/>
      <c r="G337" s="414" t="s">
        <v>2637</v>
      </c>
      <c r="H337" s="414" t="s">
        <v>2607</v>
      </c>
      <c r="I337" s="414">
        <v>0.05</v>
      </c>
      <c r="J337" s="414" t="s">
        <v>2608</v>
      </c>
      <c r="K337" s="414" t="s">
        <v>73</v>
      </c>
      <c r="L337" s="414" t="s">
        <v>902</v>
      </c>
      <c r="M337" s="414" t="s">
        <v>1027</v>
      </c>
      <c r="N337" s="414" t="s">
        <v>2619</v>
      </c>
      <c r="O337" s="59">
        <v>44197</v>
      </c>
      <c r="P337" s="59">
        <v>44561</v>
      </c>
      <c r="Q337" s="414">
        <f t="shared" si="25"/>
        <v>0</v>
      </c>
      <c r="R337" s="414">
        <v>2</v>
      </c>
      <c r="S337" s="142">
        <f t="shared" si="23"/>
        <v>2</v>
      </c>
      <c r="T337" s="414">
        <v>0</v>
      </c>
      <c r="U337" s="414">
        <v>0</v>
      </c>
      <c r="V337" s="414" t="s">
        <v>2612</v>
      </c>
      <c r="W337" s="414">
        <v>0</v>
      </c>
      <c r="X337" s="414">
        <v>0</v>
      </c>
      <c r="Y337" s="414" t="s">
        <v>2612</v>
      </c>
      <c r="Z337" s="414">
        <v>0</v>
      </c>
      <c r="AA337" s="61">
        <v>0</v>
      </c>
      <c r="AB337" s="61" t="s">
        <v>2638</v>
      </c>
      <c r="AC337" s="414">
        <v>0</v>
      </c>
      <c r="AD337" s="61">
        <v>0</v>
      </c>
      <c r="AE337" s="61" t="s">
        <v>2638</v>
      </c>
      <c r="AF337" s="414">
        <v>0</v>
      </c>
      <c r="AG337" s="61">
        <v>0</v>
      </c>
      <c r="AH337" s="223" t="s">
        <v>2638</v>
      </c>
      <c r="AI337" s="414">
        <v>0</v>
      </c>
      <c r="AJ337" s="414">
        <v>0</v>
      </c>
      <c r="AK337" s="414" t="s">
        <v>2639</v>
      </c>
      <c r="AL337" s="414">
        <v>0</v>
      </c>
      <c r="AM337" s="414"/>
      <c r="AN337" s="414"/>
      <c r="AO337" s="414">
        <v>1</v>
      </c>
      <c r="AP337" s="414"/>
      <c r="AQ337" s="414"/>
      <c r="AR337" s="414">
        <v>0</v>
      </c>
      <c r="AS337" s="414"/>
      <c r="AT337" s="414"/>
      <c r="AU337" s="414">
        <v>0</v>
      </c>
      <c r="AV337" s="414"/>
      <c r="AW337" s="414"/>
      <c r="AX337" s="414">
        <v>0</v>
      </c>
      <c r="AY337" s="414"/>
      <c r="AZ337" s="414"/>
      <c r="BA337" s="137">
        <v>1</v>
      </c>
      <c r="BB337" s="142"/>
      <c r="BC337" s="142"/>
      <c r="BD337" s="413">
        <f t="shared" si="26"/>
        <v>0</v>
      </c>
      <c r="BE337" s="413">
        <f t="shared" si="27"/>
        <v>0</v>
      </c>
      <c r="BF337" s="60" t="str">
        <f t="shared" si="24"/>
        <v>No programación, No avance</v>
      </c>
    </row>
    <row r="338" spans="2:59" s="2" customFormat="1" ht="51.75" hidden="1" customHeight="1">
      <c r="B338" s="44" t="s">
        <v>375</v>
      </c>
      <c r="C338" s="27" t="s">
        <v>2640</v>
      </c>
      <c r="D338" s="664"/>
      <c r="E338" s="661"/>
      <c r="F338" s="661"/>
      <c r="G338" s="414" t="s">
        <v>2641</v>
      </c>
      <c r="H338" s="414" t="s">
        <v>2607</v>
      </c>
      <c r="I338" s="414">
        <v>0.05</v>
      </c>
      <c r="J338" s="414" t="s">
        <v>2608</v>
      </c>
      <c r="K338" s="414" t="s">
        <v>73</v>
      </c>
      <c r="L338" s="414" t="s">
        <v>902</v>
      </c>
      <c r="M338" s="414" t="s">
        <v>2610</v>
      </c>
      <c r="N338" s="414" t="s">
        <v>2619</v>
      </c>
      <c r="O338" s="59">
        <v>44197</v>
      </c>
      <c r="P338" s="59">
        <v>44561</v>
      </c>
      <c r="Q338" s="414">
        <f t="shared" si="25"/>
        <v>1</v>
      </c>
      <c r="R338" s="414">
        <v>1</v>
      </c>
      <c r="S338" s="142">
        <f t="shared" si="23"/>
        <v>1</v>
      </c>
      <c r="T338" s="414">
        <v>0</v>
      </c>
      <c r="U338" s="414">
        <v>0</v>
      </c>
      <c r="V338" s="414" t="s">
        <v>2612</v>
      </c>
      <c r="W338" s="414">
        <v>0</v>
      </c>
      <c r="X338" s="414">
        <v>0</v>
      </c>
      <c r="Y338" s="414" t="s">
        <v>2612</v>
      </c>
      <c r="Z338" s="414">
        <v>0</v>
      </c>
      <c r="AA338" s="62">
        <v>1</v>
      </c>
      <c r="AB338" s="61" t="s">
        <v>2642</v>
      </c>
      <c r="AC338" s="414">
        <v>0</v>
      </c>
      <c r="AD338" s="62">
        <v>0</v>
      </c>
      <c r="AE338" s="61" t="s">
        <v>2642</v>
      </c>
      <c r="AF338" s="414">
        <v>0</v>
      </c>
      <c r="AG338" s="62">
        <v>0</v>
      </c>
      <c r="AH338" s="223" t="s">
        <v>2642</v>
      </c>
      <c r="AI338" s="414">
        <v>1</v>
      </c>
      <c r="AJ338" s="414">
        <v>0</v>
      </c>
      <c r="AK338" s="414" t="s">
        <v>2642</v>
      </c>
      <c r="AL338" s="414">
        <v>0</v>
      </c>
      <c r="AM338" s="414"/>
      <c r="AN338" s="414"/>
      <c r="AO338" s="414">
        <v>0</v>
      </c>
      <c r="AP338" s="414"/>
      <c r="AQ338" s="414"/>
      <c r="AR338" s="414">
        <v>0</v>
      </c>
      <c r="AS338" s="414"/>
      <c r="AT338" s="414"/>
      <c r="AU338" s="414">
        <v>0</v>
      </c>
      <c r="AV338" s="414"/>
      <c r="AW338" s="414"/>
      <c r="AX338" s="414">
        <v>0</v>
      </c>
      <c r="AY338" s="414"/>
      <c r="AZ338" s="414"/>
      <c r="BA338" s="137">
        <v>0</v>
      </c>
      <c r="BB338" s="142"/>
      <c r="BC338" s="142"/>
      <c r="BD338" s="413">
        <f t="shared" si="26"/>
        <v>1</v>
      </c>
      <c r="BE338" s="413">
        <f t="shared" si="27"/>
        <v>1</v>
      </c>
      <c r="BF338" s="60">
        <f t="shared" si="24"/>
        <v>1</v>
      </c>
    </row>
    <row r="339" spans="2:59" s="2" customFormat="1" ht="51.75" hidden="1" customHeight="1">
      <c r="B339" s="44" t="s">
        <v>375</v>
      </c>
      <c r="C339" s="27" t="s">
        <v>2643</v>
      </c>
      <c r="D339" s="664"/>
      <c r="E339" s="661"/>
      <c r="F339" s="661"/>
      <c r="G339" s="414" t="s">
        <v>2644</v>
      </c>
      <c r="H339" s="414" t="s">
        <v>2607</v>
      </c>
      <c r="I339" s="414">
        <v>0.05</v>
      </c>
      <c r="J339" s="414" t="s">
        <v>2608</v>
      </c>
      <c r="K339" s="414" t="s">
        <v>79</v>
      </c>
      <c r="L339" s="414" t="s">
        <v>2609</v>
      </c>
      <c r="M339" s="414" t="s">
        <v>2645</v>
      </c>
      <c r="N339" s="414" t="s">
        <v>2619</v>
      </c>
      <c r="O339" s="59">
        <v>44197</v>
      </c>
      <c r="P339" s="59">
        <v>44561</v>
      </c>
      <c r="Q339" s="414">
        <f t="shared" si="25"/>
        <v>0.5</v>
      </c>
      <c r="R339" s="414">
        <v>1</v>
      </c>
      <c r="S339" s="142">
        <f t="shared" si="23"/>
        <v>1.1499999999999999</v>
      </c>
      <c r="T339" s="414">
        <v>0</v>
      </c>
      <c r="U339" s="414">
        <v>0.1</v>
      </c>
      <c r="V339" s="414" t="s">
        <v>2646</v>
      </c>
      <c r="W339" s="414">
        <v>0</v>
      </c>
      <c r="X339" s="283">
        <v>0.05</v>
      </c>
      <c r="Y339" s="414" t="s">
        <v>2647</v>
      </c>
      <c r="Z339" s="63">
        <v>0.25</v>
      </c>
      <c r="AA339" s="63">
        <v>0.05</v>
      </c>
      <c r="AB339" s="61" t="s">
        <v>2648</v>
      </c>
      <c r="AC339" s="414">
        <v>0.1</v>
      </c>
      <c r="AD339" s="62">
        <v>0.1</v>
      </c>
      <c r="AE339" s="61" t="s">
        <v>2649</v>
      </c>
      <c r="AF339" s="414">
        <v>0.05</v>
      </c>
      <c r="AG339" s="62">
        <v>0.05</v>
      </c>
      <c r="AH339" s="223" t="s">
        <v>2650</v>
      </c>
      <c r="AI339" s="63">
        <v>0.25</v>
      </c>
      <c r="AJ339" s="414">
        <v>0.15</v>
      </c>
      <c r="AK339" s="414" t="s">
        <v>2651</v>
      </c>
      <c r="AL339" s="414">
        <v>0</v>
      </c>
      <c r="AM339" s="414"/>
      <c r="AN339" s="414"/>
      <c r="AO339" s="414">
        <v>0</v>
      </c>
      <c r="AP339" s="414"/>
      <c r="AQ339" s="414"/>
      <c r="AR339" s="63">
        <v>0.25</v>
      </c>
      <c r="AS339" s="414"/>
      <c r="AT339" s="414"/>
      <c r="AU339" s="414">
        <v>0</v>
      </c>
      <c r="AV339" s="414"/>
      <c r="AW339" s="414"/>
      <c r="AX339" s="414">
        <v>0</v>
      </c>
      <c r="AY339" s="414"/>
      <c r="AZ339" s="414"/>
      <c r="BA339" s="173">
        <v>0.25</v>
      </c>
      <c r="BB339" s="142"/>
      <c r="BC339" s="142"/>
      <c r="BD339" s="413">
        <f t="shared" si="26"/>
        <v>0.64999999999999991</v>
      </c>
      <c r="BE339" s="413">
        <f t="shared" si="27"/>
        <v>0.5</v>
      </c>
      <c r="BF339" s="60">
        <f t="shared" si="24"/>
        <v>0.76923076923076938</v>
      </c>
    </row>
    <row r="340" spans="2:59" s="2" customFormat="1" ht="51.75" hidden="1" customHeight="1" thickBot="1">
      <c r="B340" s="44" t="s">
        <v>375</v>
      </c>
      <c r="C340" s="27" t="s">
        <v>2652</v>
      </c>
      <c r="D340" s="665"/>
      <c r="E340" s="662"/>
      <c r="F340" s="662"/>
      <c r="G340" s="415" t="s">
        <v>2653</v>
      </c>
      <c r="H340" s="415" t="s">
        <v>2607</v>
      </c>
      <c r="I340" s="415">
        <v>0.05</v>
      </c>
      <c r="J340" s="415" t="s">
        <v>2608</v>
      </c>
      <c r="K340" s="415" t="s">
        <v>79</v>
      </c>
      <c r="L340" s="415" t="s">
        <v>2609</v>
      </c>
      <c r="M340" s="415" t="s">
        <v>2654</v>
      </c>
      <c r="N340" s="415" t="s">
        <v>2619</v>
      </c>
      <c r="O340" s="64">
        <v>44197</v>
      </c>
      <c r="P340" s="64">
        <v>44561</v>
      </c>
      <c r="Q340" s="415">
        <f>+(U340+X340+AA340+AD340+AG340+AJ340+AM340+AP340+AS340+AV340+AY340+BB340)/5</f>
        <v>4.1279999999999997E-2</v>
      </c>
      <c r="R340" s="415">
        <v>0.1</v>
      </c>
      <c r="S340" s="66">
        <f t="shared" si="23"/>
        <v>0.55000000000000004</v>
      </c>
      <c r="T340" s="415">
        <v>0</v>
      </c>
      <c r="U340" s="415">
        <v>0</v>
      </c>
      <c r="V340" s="415" t="s">
        <v>2655</v>
      </c>
      <c r="W340" s="65">
        <v>0.1</v>
      </c>
      <c r="X340" s="284">
        <v>0</v>
      </c>
      <c r="Y340" s="415" t="s">
        <v>2656</v>
      </c>
      <c r="Z340" s="65">
        <v>0.1</v>
      </c>
      <c r="AA340" s="65">
        <v>1.1299999999999999E-2</v>
      </c>
      <c r="AB340" s="193" t="s">
        <v>2657</v>
      </c>
      <c r="AC340" s="65">
        <v>0.1</v>
      </c>
      <c r="AD340" s="65">
        <v>7.1999999999999995E-2</v>
      </c>
      <c r="AE340" s="193" t="s">
        <v>2658</v>
      </c>
      <c r="AF340" s="65">
        <v>0.1</v>
      </c>
      <c r="AG340" s="375">
        <v>7.5499999999999998E-2</v>
      </c>
      <c r="AH340" s="225" t="s">
        <v>2659</v>
      </c>
      <c r="AI340" s="65">
        <v>0.1</v>
      </c>
      <c r="AJ340" s="415" t="s">
        <v>2660</v>
      </c>
      <c r="AK340" s="415" t="s">
        <v>2661</v>
      </c>
      <c r="AL340" s="65">
        <v>0.01</v>
      </c>
      <c r="AM340" s="415"/>
      <c r="AN340" s="415"/>
      <c r="AO340" s="65">
        <v>0.01</v>
      </c>
      <c r="AP340" s="415"/>
      <c r="AQ340" s="415"/>
      <c r="AR340" s="65">
        <v>0.01</v>
      </c>
      <c r="AS340" s="415"/>
      <c r="AT340" s="415"/>
      <c r="AU340" s="65">
        <v>0.01</v>
      </c>
      <c r="AV340" s="415"/>
      <c r="AW340" s="415"/>
      <c r="AX340" s="65">
        <v>0.01</v>
      </c>
      <c r="AY340" s="415"/>
      <c r="AZ340" s="415"/>
      <c r="BA340" s="177">
        <v>0</v>
      </c>
      <c r="BB340" s="66"/>
      <c r="BC340" s="66"/>
      <c r="BD340" s="229">
        <f>(T340+W340+Z340+AC340+AF340+AI340)/6</f>
        <v>8.3333333333333329E-2</v>
      </c>
      <c r="BE340" s="229">
        <f>(U340+X340+AA340+AD340+AG340+AJ340)/6</f>
        <v>3.44E-2</v>
      </c>
      <c r="BF340" s="67">
        <f t="shared" si="24"/>
        <v>0.4128</v>
      </c>
    </row>
    <row r="341" spans="2:59" s="2" customFormat="1" ht="36" hidden="1" customHeight="1">
      <c r="B341" s="44" t="s">
        <v>377</v>
      </c>
      <c r="C341" s="27" t="s">
        <v>2662</v>
      </c>
      <c r="D341" s="672" t="s">
        <v>32</v>
      </c>
      <c r="E341" s="681" t="s">
        <v>378</v>
      </c>
      <c r="F341" s="681" t="s">
        <v>379</v>
      </c>
      <c r="G341" s="409" t="s">
        <v>2663</v>
      </c>
      <c r="H341" s="409" t="s">
        <v>380</v>
      </c>
      <c r="I341" s="409">
        <v>0.6</v>
      </c>
      <c r="J341" s="409" t="s">
        <v>2664</v>
      </c>
      <c r="K341" s="409" t="s">
        <v>73</v>
      </c>
      <c r="L341" s="409" t="s">
        <v>2665</v>
      </c>
      <c r="M341" s="409" t="s">
        <v>2666</v>
      </c>
      <c r="N341" s="409" t="s">
        <v>2667</v>
      </c>
      <c r="O341" s="37">
        <v>44197</v>
      </c>
      <c r="P341" s="37">
        <v>44561</v>
      </c>
      <c r="Q341" s="409">
        <f t="shared" si="25"/>
        <v>0.30000000000000004</v>
      </c>
      <c r="R341" s="409">
        <v>2</v>
      </c>
      <c r="S341" s="412">
        <f t="shared" si="23"/>
        <v>2</v>
      </c>
      <c r="T341" s="393">
        <v>0</v>
      </c>
      <c r="U341" s="393">
        <v>0</v>
      </c>
      <c r="V341" s="393"/>
      <c r="W341" s="393">
        <v>0</v>
      </c>
      <c r="X341" s="393">
        <v>0</v>
      </c>
      <c r="Y341" s="393"/>
      <c r="Z341" s="393">
        <v>0</v>
      </c>
      <c r="AA341" s="243">
        <v>0.1</v>
      </c>
      <c r="AB341" s="250" t="s">
        <v>2668</v>
      </c>
      <c r="AC341" s="393">
        <v>0</v>
      </c>
      <c r="AD341" s="243">
        <v>0.05</v>
      </c>
      <c r="AE341" s="250" t="s">
        <v>2669</v>
      </c>
      <c r="AF341" s="394">
        <v>0</v>
      </c>
      <c r="AG341" s="243">
        <v>0.05</v>
      </c>
      <c r="AH341" s="152" t="s">
        <v>2670</v>
      </c>
      <c r="AI341" s="409">
        <v>1</v>
      </c>
      <c r="AJ341" s="409">
        <v>0.1</v>
      </c>
      <c r="AK341" s="409" t="s">
        <v>2671</v>
      </c>
      <c r="AL341" s="409">
        <v>0</v>
      </c>
      <c r="AM341" s="409"/>
      <c r="AN341" s="409"/>
      <c r="AO341" s="409">
        <v>0</v>
      </c>
      <c r="AP341" s="409"/>
      <c r="AQ341" s="409"/>
      <c r="AR341" s="409">
        <v>0</v>
      </c>
      <c r="AS341" s="409"/>
      <c r="AT341" s="409"/>
      <c r="AU341" s="409">
        <v>0</v>
      </c>
      <c r="AV341" s="409"/>
      <c r="AW341" s="409"/>
      <c r="AX341" s="409">
        <v>1</v>
      </c>
      <c r="AY341" s="409"/>
      <c r="AZ341" s="409"/>
      <c r="BA341" s="175">
        <v>0</v>
      </c>
      <c r="BB341" s="412"/>
      <c r="BC341" s="412"/>
      <c r="BD341" s="148">
        <f>+T341+W341+Z341+AC341+AF341+AI341</f>
        <v>1</v>
      </c>
      <c r="BE341" s="413">
        <f t="shared" ref="BE341:BE348" si="28">+U341+X341+AA341+AD341+AG341+AJ341</f>
        <v>0.30000000000000004</v>
      </c>
      <c r="BF341" s="46">
        <f t="shared" si="24"/>
        <v>0.30000000000000004</v>
      </c>
      <c r="BG341" s="2">
        <f>+AVERAGE(BF341:BF348)</f>
        <v>1.0124499999999999</v>
      </c>
    </row>
    <row r="342" spans="2:59" s="2" customFormat="1" ht="204" hidden="1">
      <c r="B342" s="44" t="s">
        <v>377</v>
      </c>
      <c r="C342" s="27" t="s">
        <v>2672</v>
      </c>
      <c r="D342" s="673"/>
      <c r="E342" s="682"/>
      <c r="F342" s="682"/>
      <c r="G342" s="410" t="s">
        <v>2673</v>
      </c>
      <c r="H342" s="410" t="s">
        <v>380</v>
      </c>
      <c r="I342" s="410">
        <v>0.4</v>
      </c>
      <c r="J342" s="410" t="s">
        <v>2674</v>
      </c>
      <c r="K342" s="410" t="s">
        <v>73</v>
      </c>
      <c r="L342" s="410" t="s">
        <v>2675</v>
      </c>
      <c r="M342" s="410" t="s">
        <v>819</v>
      </c>
      <c r="N342" s="410" t="s">
        <v>2676</v>
      </c>
      <c r="O342" s="38">
        <v>44197</v>
      </c>
      <c r="P342" s="38">
        <v>44561</v>
      </c>
      <c r="Q342" s="410">
        <f t="shared" si="25"/>
        <v>0.4</v>
      </c>
      <c r="R342" s="410">
        <v>1</v>
      </c>
      <c r="S342" s="413">
        <f t="shared" si="23"/>
        <v>1</v>
      </c>
      <c r="T342" s="315">
        <v>0</v>
      </c>
      <c r="U342" s="315">
        <v>0</v>
      </c>
      <c r="V342" s="315"/>
      <c r="W342" s="315">
        <v>0</v>
      </c>
      <c r="X342" s="315">
        <v>0</v>
      </c>
      <c r="Y342" s="315"/>
      <c r="Z342" s="315">
        <v>0</v>
      </c>
      <c r="AA342" s="253">
        <v>0.1</v>
      </c>
      <c r="AB342" s="241" t="s">
        <v>2677</v>
      </c>
      <c r="AC342" s="315">
        <v>0</v>
      </c>
      <c r="AD342" s="253">
        <v>0.15</v>
      </c>
      <c r="AE342" s="241" t="s">
        <v>2678</v>
      </c>
      <c r="AF342" s="315">
        <v>0</v>
      </c>
      <c r="AG342" s="253">
        <v>0.05</v>
      </c>
      <c r="AH342" s="154" t="s">
        <v>2678</v>
      </c>
      <c r="AI342" s="410">
        <v>0</v>
      </c>
      <c r="AJ342" s="49">
        <v>0.1</v>
      </c>
      <c r="AK342" s="410" t="s">
        <v>2679</v>
      </c>
      <c r="AL342" s="410">
        <v>0</v>
      </c>
      <c r="AM342" s="410"/>
      <c r="AN342" s="410"/>
      <c r="AO342" s="410">
        <v>0</v>
      </c>
      <c r="AP342" s="410"/>
      <c r="AQ342" s="410"/>
      <c r="AR342" s="410">
        <v>0</v>
      </c>
      <c r="AS342" s="410"/>
      <c r="AT342" s="410"/>
      <c r="AU342" s="410">
        <v>1</v>
      </c>
      <c r="AV342" s="410"/>
      <c r="AW342" s="410"/>
      <c r="AX342" s="410">
        <v>0</v>
      </c>
      <c r="AY342" s="410"/>
      <c r="AZ342" s="410"/>
      <c r="BA342" s="137">
        <v>0</v>
      </c>
      <c r="BB342" s="413"/>
      <c r="BC342" s="413"/>
      <c r="BD342" s="413">
        <f t="shared" ref="BD342:BD348" si="29">+T342+W342+Z342+AC342+AF342+AI342</f>
        <v>0</v>
      </c>
      <c r="BE342" s="413">
        <f t="shared" si="28"/>
        <v>0.4</v>
      </c>
      <c r="BF342" s="48">
        <f t="shared" si="24"/>
        <v>0.4</v>
      </c>
    </row>
    <row r="343" spans="2:59" s="2" customFormat="1" ht="48" hidden="1" customHeight="1">
      <c r="B343" s="44" t="s">
        <v>381</v>
      </c>
      <c r="C343" s="27" t="s">
        <v>2680</v>
      </c>
      <c r="D343" s="673"/>
      <c r="E343" s="410" t="s">
        <v>382</v>
      </c>
      <c r="F343" s="410" t="s">
        <v>2681</v>
      </c>
      <c r="G343" s="410" t="s">
        <v>2682</v>
      </c>
      <c r="H343" s="410" t="s">
        <v>380</v>
      </c>
      <c r="I343" s="410">
        <v>1</v>
      </c>
      <c r="J343" s="410" t="s">
        <v>2683</v>
      </c>
      <c r="K343" s="410" t="s">
        <v>73</v>
      </c>
      <c r="L343" s="410" t="s">
        <v>2675</v>
      </c>
      <c r="M343" s="410" t="s">
        <v>819</v>
      </c>
      <c r="N343" s="410" t="s">
        <v>2676</v>
      </c>
      <c r="O343" s="38">
        <v>44197</v>
      </c>
      <c r="P343" s="38">
        <v>44561</v>
      </c>
      <c r="Q343" s="410">
        <f t="shared" si="25"/>
        <v>0.35000000000000003</v>
      </c>
      <c r="R343" s="410">
        <v>1</v>
      </c>
      <c r="S343" s="413">
        <f t="shared" si="23"/>
        <v>1</v>
      </c>
      <c r="T343" s="315">
        <v>0</v>
      </c>
      <c r="U343" s="315">
        <v>0</v>
      </c>
      <c r="V343" s="315"/>
      <c r="W343" s="315">
        <v>0</v>
      </c>
      <c r="X343" s="315">
        <v>0</v>
      </c>
      <c r="Y343" s="315"/>
      <c r="Z343" s="395">
        <v>0</v>
      </c>
      <c r="AA343" s="253">
        <v>0.05</v>
      </c>
      <c r="AB343" s="241" t="s">
        <v>2684</v>
      </c>
      <c r="AC343" s="395">
        <v>0</v>
      </c>
      <c r="AD343" s="253">
        <v>0.05</v>
      </c>
      <c r="AE343" s="241" t="s">
        <v>2685</v>
      </c>
      <c r="AF343" s="395">
        <v>0</v>
      </c>
      <c r="AG343" s="253">
        <v>0.05</v>
      </c>
      <c r="AH343" s="154" t="s">
        <v>2686</v>
      </c>
      <c r="AI343" s="410">
        <v>0</v>
      </c>
      <c r="AJ343" s="410">
        <v>0.2</v>
      </c>
      <c r="AK343" s="410" t="s">
        <v>2687</v>
      </c>
      <c r="AL343" s="410">
        <v>0</v>
      </c>
      <c r="AM343" s="410"/>
      <c r="AN343" s="410"/>
      <c r="AO343" s="410">
        <v>0</v>
      </c>
      <c r="AP343" s="410"/>
      <c r="AQ343" s="410"/>
      <c r="AR343" s="410">
        <v>1</v>
      </c>
      <c r="AS343" s="410"/>
      <c r="AT343" s="410"/>
      <c r="AU343" s="410">
        <v>0</v>
      </c>
      <c r="AV343" s="410"/>
      <c r="AW343" s="410"/>
      <c r="AX343" s="410">
        <v>0</v>
      </c>
      <c r="AY343" s="410"/>
      <c r="AZ343" s="410"/>
      <c r="BA343" s="137">
        <v>0</v>
      </c>
      <c r="BB343" s="413"/>
      <c r="BC343" s="413"/>
      <c r="BD343" s="413">
        <f t="shared" si="29"/>
        <v>0</v>
      </c>
      <c r="BE343" s="413">
        <f t="shared" si="28"/>
        <v>0.35000000000000003</v>
      </c>
      <c r="BF343" s="48">
        <f t="shared" si="24"/>
        <v>0.35000000000000003</v>
      </c>
    </row>
    <row r="344" spans="2:59" s="2" customFormat="1" ht="60" hidden="1" customHeight="1">
      <c r="B344" s="44" t="s">
        <v>383</v>
      </c>
      <c r="C344" s="27" t="s">
        <v>2688</v>
      </c>
      <c r="D344" s="673"/>
      <c r="E344" s="410" t="s">
        <v>384</v>
      </c>
      <c r="F344" s="410" t="s">
        <v>2689</v>
      </c>
      <c r="G344" s="315" t="s">
        <v>2690</v>
      </c>
      <c r="H344" s="410" t="s">
        <v>380</v>
      </c>
      <c r="I344" s="410">
        <v>1</v>
      </c>
      <c r="J344" s="410" t="s">
        <v>2691</v>
      </c>
      <c r="K344" s="410" t="s">
        <v>79</v>
      </c>
      <c r="L344" s="410" t="s">
        <v>2692</v>
      </c>
      <c r="M344" s="410" t="s">
        <v>2693</v>
      </c>
      <c r="N344" s="410" t="s">
        <v>2694</v>
      </c>
      <c r="O344" s="38">
        <v>44197</v>
      </c>
      <c r="P344" s="38">
        <v>44561</v>
      </c>
      <c r="Q344" s="410">
        <f t="shared" si="25"/>
        <v>0.5</v>
      </c>
      <c r="R344" s="410">
        <v>1</v>
      </c>
      <c r="S344" s="413">
        <f t="shared" si="23"/>
        <v>0.99999999999999989</v>
      </c>
      <c r="T344" s="315">
        <v>0</v>
      </c>
      <c r="U344" s="315">
        <v>0</v>
      </c>
      <c r="V344" s="315"/>
      <c r="W344" s="315">
        <v>0</v>
      </c>
      <c r="X344" s="396">
        <v>0</v>
      </c>
      <c r="Y344" s="315"/>
      <c r="Z344" s="315">
        <v>0.1</v>
      </c>
      <c r="AA344" s="253">
        <v>0.1</v>
      </c>
      <c r="AB344" s="241" t="s">
        <v>2695</v>
      </c>
      <c r="AC344" s="315">
        <v>0.1</v>
      </c>
      <c r="AD344" s="253">
        <v>0.1</v>
      </c>
      <c r="AE344" s="241" t="s">
        <v>2696</v>
      </c>
      <c r="AF344" s="315">
        <v>0.1</v>
      </c>
      <c r="AG344" s="253">
        <v>0.1</v>
      </c>
      <c r="AH344" s="154" t="s">
        <v>2697</v>
      </c>
      <c r="AI344" s="410">
        <v>0.1</v>
      </c>
      <c r="AJ344" s="395">
        <v>0.2</v>
      </c>
      <c r="AK344" s="410" t="s">
        <v>2698</v>
      </c>
      <c r="AL344" s="410">
        <v>0.1</v>
      </c>
      <c r="AM344" s="410"/>
      <c r="AN344" s="410"/>
      <c r="AO344" s="410">
        <v>0.1</v>
      </c>
      <c r="AP344" s="410"/>
      <c r="AQ344" s="410"/>
      <c r="AR344" s="410">
        <v>0.1</v>
      </c>
      <c r="AS344" s="410"/>
      <c r="AT344" s="410"/>
      <c r="AU344" s="410">
        <v>0.1</v>
      </c>
      <c r="AV344" s="410"/>
      <c r="AW344" s="410"/>
      <c r="AX344" s="410">
        <v>0.1</v>
      </c>
      <c r="AY344" s="410"/>
      <c r="AZ344" s="410"/>
      <c r="BA344" s="137">
        <v>0.1</v>
      </c>
      <c r="BB344" s="413"/>
      <c r="BC344" s="413"/>
      <c r="BD344" s="413">
        <f t="shared" si="29"/>
        <v>0.4</v>
      </c>
      <c r="BE344" s="413">
        <f t="shared" si="28"/>
        <v>0.5</v>
      </c>
      <c r="BF344" s="48">
        <f t="shared" si="24"/>
        <v>1.25</v>
      </c>
    </row>
    <row r="345" spans="2:59" s="2" customFormat="1" ht="70.5" hidden="1" customHeight="1">
      <c r="B345" s="44" t="s">
        <v>385</v>
      </c>
      <c r="C345" s="27" t="s">
        <v>2699</v>
      </c>
      <c r="D345" s="673"/>
      <c r="E345" s="410" t="s">
        <v>386</v>
      </c>
      <c r="F345" s="410" t="s">
        <v>387</v>
      </c>
      <c r="G345" s="137" t="s">
        <v>2700</v>
      </c>
      <c r="H345" s="410" t="s">
        <v>380</v>
      </c>
      <c r="I345" s="410">
        <v>1</v>
      </c>
      <c r="J345" s="410" t="s">
        <v>2691</v>
      </c>
      <c r="K345" s="410" t="s">
        <v>73</v>
      </c>
      <c r="L345" s="410" t="s">
        <v>2701</v>
      </c>
      <c r="M345" s="410" t="s">
        <v>819</v>
      </c>
      <c r="N345" s="410" t="s">
        <v>2694</v>
      </c>
      <c r="O345" s="38">
        <v>44197</v>
      </c>
      <c r="P345" s="38">
        <v>44561</v>
      </c>
      <c r="Q345" s="410">
        <f t="shared" si="25"/>
        <v>0.5</v>
      </c>
      <c r="R345" s="410">
        <v>1</v>
      </c>
      <c r="S345" s="413">
        <f t="shared" si="23"/>
        <v>1</v>
      </c>
      <c r="T345" s="315">
        <v>0</v>
      </c>
      <c r="U345" s="315">
        <v>0</v>
      </c>
      <c r="V345" s="315"/>
      <c r="W345" s="315">
        <v>0</v>
      </c>
      <c r="X345" s="315">
        <v>0</v>
      </c>
      <c r="Y345" s="315"/>
      <c r="Z345" s="395">
        <v>0</v>
      </c>
      <c r="AA345" s="253">
        <v>0.1</v>
      </c>
      <c r="AB345" s="241" t="s">
        <v>2702</v>
      </c>
      <c r="AC345" s="395">
        <v>0</v>
      </c>
      <c r="AD345" s="253">
        <v>0.05</v>
      </c>
      <c r="AE345" s="241" t="s">
        <v>2703</v>
      </c>
      <c r="AF345" s="395">
        <v>0</v>
      </c>
      <c r="AG345" s="253">
        <v>0.1</v>
      </c>
      <c r="AH345" s="154" t="s">
        <v>2704</v>
      </c>
      <c r="AI345" s="410">
        <v>1</v>
      </c>
      <c r="AJ345" s="395">
        <v>0.25</v>
      </c>
      <c r="AK345" s="410" t="s">
        <v>2705</v>
      </c>
      <c r="AL345" s="410">
        <v>0</v>
      </c>
      <c r="AM345" s="410"/>
      <c r="AN345" s="410"/>
      <c r="AO345" s="410">
        <v>0</v>
      </c>
      <c r="AP345" s="410"/>
      <c r="AQ345" s="410"/>
      <c r="AR345" s="410">
        <v>0</v>
      </c>
      <c r="AS345" s="410"/>
      <c r="AT345" s="410"/>
      <c r="AU345" s="410">
        <v>0</v>
      </c>
      <c r="AV345" s="410"/>
      <c r="AW345" s="410"/>
      <c r="AX345" s="410">
        <v>0</v>
      </c>
      <c r="AY345" s="410"/>
      <c r="AZ345" s="410"/>
      <c r="BA345" s="137">
        <v>0</v>
      </c>
      <c r="BB345" s="413"/>
      <c r="BC345" s="413"/>
      <c r="BD345" s="413">
        <f t="shared" si="29"/>
        <v>1</v>
      </c>
      <c r="BE345" s="413">
        <f t="shared" si="28"/>
        <v>0.5</v>
      </c>
      <c r="BF345" s="48">
        <f t="shared" si="24"/>
        <v>0.5</v>
      </c>
    </row>
    <row r="346" spans="2:59" s="2" customFormat="1" ht="37.5" hidden="1" customHeight="1">
      <c r="B346" s="44" t="s">
        <v>388</v>
      </c>
      <c r="C346" s="27" t="s">
        <v>2706</v>
      </c>
      <c r="D346" s="673"/>
      <c r="E346" s="648" t="s">
        <v>389</v>
      </c>
      <c r="F346" s="648" t="s">
        <v>2707</v>
      </c>
      <c r="G346" s="410" t="s">
        <v>2708</v>
      </c>
      <c r="H346" s="410" t="s">
        <v>380</v>
      </c>
      <c r="I346" s="410">
        <v>0.6</v>
      </c>
      <c r="J346" s="410" t="s">
        <v>2709</v>
      </c>
      <c r="K346" s="410" t="s">
        <v>73</v>
      </c>
      <c r="L346" s="410" t="s">
        <v>2710</v>
      </c>
      <c r="M346" s="410" t="s">
        <v>2711</v>
      </c>
      <c r="N346" s="410" t="s">
        <v>2694</v>
      </c>
      <c r="O346" s="38">
        <v>44197</v>
      </c>
      <c r="P346" s="38">
        <v>44561</v>
      </c>
      <c r="Q346" s="410">
        <f t="shared" si="25"/>
        <v>1</v>
      </c>
      <c r="R346" s="410">
        <v>2</v>
      </c>
      <c r="S346" s="413">
        <f t="shared" si="23"/>
        <v>1.25</v>
      </c>
      <c r="T346" s="315">
        <v>0</v>
      </c>
      <c r="U346" s="315">
        <v>0</v>
      </c>
      <c r="V346" s="315"/>
      <c r="W346" s="315">
        <v>0.1</v>
      </c>
      <c r="X346" s="315">
        <v>0.1</v>
      </c>
      <c r="Y346" s="315"/>
      <c r="Z346" s="395">
        <v>0.05</v>
      </c>
      <c r="AA346" s="253">
        <v>0.1</v>
      </c>
      <c r="AB346" s="241" t="s">
        <v>2712</v>
      </c>
      <c r="AC346" s="395">
        <v>0.05</v>
      </c>
      <c r="AD346" s="253">
        <v>0.15</v>
      </c>
      <c r="AE346" s="241" t="s">
        <v>2713</v>
      </c>
      <c r="AF346" s="395">
        <v>0.05</v>
      </c>
      <c r="AG346" s="253">
        <v>0.25</v>
      </c>
      <c r="AH346" s="154" t="s">
        <v>2714</v>
      </c>
      <c r="AI346" s="410">
        <v>0</v>
      </c>
      <c r="AJ346" s="315">
        <v>0.4</v>
      </c>
      <c r="AK346" s="410" t="s">
        <v>2715</v>
      </c>
      <c r="AL346" s="410">
        <v>0</v>
      </c>
      <c r="AM346" s="410"/>
      <c r="AN346" s="410"/>
      <c r="AO346" s="410">
        <v>0</v>
      </c>
      <c r="AP346" s="410"/>
      <c r="AQ346" s="410"/>
      <c r="AR346" s="410">
        <v>0</v>
      </c>
      <c r="AS346" s="410"/>
      <c r="AT346" s="410"/>
      <c r="AU346" s="410">
        <v>0</v>
      </c>
      <c r="AV346" s="410"/>
      <c r="AW346" s="410"/>
      <c r="AX346" s="410">
        <v>0</v>
      </c>
      <c r="AY346" s="410"/>
      <c r="AZ346" s="410"/>
      <c r="BA346" s="137">
        <v>1</v>
      </c>
      <c r="BB346" s="413"/>
      <c r="BC346" s="413"/>
      <c r="BD346" s="413">
        <f t="shared" si="29"/>
        <v>0.25</v>
      </c>
      <c r="BE346" s="413">
        <f t="shared" si="28"/>
        <v>1</v>
      </c>
      <c r="BF346" s="48">
        <f t="shared" si="24"/>
        <v>4</v>
      </c>
    </row>
    <row r="347" spans="2:59" s="2" customFormat="1" ht="84" hidden="1">
      <c r="B347" s="44" t="s">
        <v>388</v>
      </c>
      <c r="C347" s="27" t="s">
        <v>2716</v>
      </c>
      <c r="D347" s="673"/>
      <c r="E347" s="648"/>
      <c r="F347" s="648"/>
      <c r="G347" s="137" t="s">
        <v>2717</v>
      </c>
      <c r="H347" s="410" t="s">
        <v>380</v>
      </c>
      <c r="I347" s="410">
        <v>0.4</v>
      </c>
      <c r="J347" s="410" t="s">
        <v>397</v>
      </c>
      <c r="K347" s="410" t="s">
        <v>79</v>
      </c>
      <c r="L347" s="410" t="s">
        <v>2718</v>
      </c>
      <c r="M347" s="410" t="s">
        <v>2719</v>
      </c>
      <c r="N347" s="410" t="s">
        <v>2694</v>
      </c>
      <c r="O347" s="38">
        <v>44197</v>
      </c>
      <c r="P347" s="38">
        <v>44561</v>
      </c>
      <c r="Q347" s="55">
        <f>(+U347+X347+AA347+AD347+AG347+AJ347+AM347+AP347+AS347+AV347+AY347+BB347)/5</f>
        <v>3.0000000000000006E-2</v>
      </c>
      <c r="R347" s="410">
        <v>0.4</v>
      </c>
      <c r="S347" s="413">
        <f t="shared" si="23"/>
        <v>0.7</v>
      </c>
      <c r="T347" s="315">
        <v>0</v>
      </c>
      <c r="U347" s="315">
        <v>0</v>
      </c>
      <c r="V347" s="315"/>
      <c r="W347" s="315">
        <v>0</v>
      </c>
      <c r="X347" s="396">
        <v>0</v>
      </c>
      <c r="Y347" s="315"/>
      <c r="Z347" s="395">
        <v>0</v>
      </c>
      <c r="AA347" s="371">
        <v>0.05</v>
      </c>
      <c r="AB347" s="241" t="s">
        <v>2720</v>
      </c>
      <c r="AC347" s="315">
        <v>0</v>
      </c>
      <c r="AD347" s="253">
        <v>0.1</v>
      </c>
      <c r="AE347" s="241" t="s">
        <v>2721</v>
      </c>
      <c r="AF347" s="395">
        <v>0.25</v>
      </c>
      <c r="AG347" s="371">
        <v>0</v>
      </c>
      <c r="AH347" s="154" t="s">
        <v>2722</v>
      </c>
      <c r="AI347" s="49">
        <v>0.25</v>
      </c>
      <c r="AJ347" s="315">
        <v>0</v>
      </c>
      <c r="AK347" s="410" t="s">
        <v>2722</v>
      </c>
      <c r="AL347" s="410">
        <v>0</v>
      </c>
      <c r="AM347" s="410"/>
      <c r="AN347" s="410"/>
      <c r="AO347" s="410">
        <v>0</v>
      </c>
      <c r="AP347" s="410"/>
      <c r="AQ347" s="410"/>
      <c r="AR347" s="410">
        <v>0</v>
      </c>
      <c r="AS347" s="410"/>
      <c r="AT347" s="410"/>
      <c r="AU347" s="410">
        <v>0</v>
      </c>
      <c r="AV347" s="410"/>
      <c r="AW347" s="410"/>
      <c r="AX347" s="410">
        <v>0</v>
      </c>
      <c r="AY347" s="410"/>
      <c r="AZ347" s="410"/>
      <c r="BA347" s="173">
        <v>0.2</v>
      </c>
      <c r="BB347" s="413"/>
      <c r="BC347" s="413"/>
      <c r="BD347" s="413">
        <f t="shared" si="29"/>
        <v>0.5</v>
      </c>
      <c r="BE347" s="413">
        <f t="shared" si="28"/>
        <v>0.15000000000000002</v>
      </c>
      <c r="BF347" s="48">
        <f t="shared" si="24"/>
        <v>0.30000000000000004</v>
      </c>
    </row>
    <row r="348" spans="2:59" s="2" customFormat="1" ht="84" hidden="1" customHeight="1" thickBot="1">
      <c r="B348" s="44" t="s">
        <v>390</v>
      </c>
      <c r="C348" s="27" t="s">
        <v>2723</v>
      </c>
      <c r="D348" s="674"/>
      <c r="E348" s="411" t="s">
        <v>391</v>
      </c>
      <c r="F348" s="411" t="s">
        <v>2724</v>
      </c>
      <c r="G348" s="411" t="s">
        <v>2725</v>
      </c>
      <c r="H348" s="411" t="s">
        <v>380</v>
      </c>
      <c r="I348" s="411">
        <v>1</v>
      </c>
      <c r="J348" s="411" t="s">
        <v>2726</v>
      </c>
      <c r="K348" s="411" t="s">
        <v>79</v>
      </c>
      <c r="L348" s="411" t="s">
        <v>2727</v>
      </c>
      <c r="M348" s="411" t="s">
        <v>2728</v>
      </c>
      <c r="N348" s="411" t="s">
        <v>2694</v>
      </c>
      <c r="O348" s="42">
        <v>44197</v>
      </c>
      <c r="P348" s="42">
        <v>44561</v>
      </c>
      <c r="Q348" s="411">
        <f t="shared" si="25"/>
        <v>0.49979999999999997</v>
      </c>
      <c r="R348" s="411">
        <v>1</v>
      </c>
      <c r="S348" s="143">
        <f t="shared" si="23"/>
        <v>1</v>
      </c>
      <c r="T348" s="411">
        <v>8.3333333333333329E-2</v>
      </c>
      <c r="U348" s="397">
        <v>8.3299999999999999E-2</v>
      </c>
      <c r="V348" s="411"/>
      <c r="W348" s="411">
        <v>8.3333333333333329E-2</v>
      </c>
      <c r="X348" s="290">
        <v>8.3299999999999999E-2</v>
      </c>
      <c r="Y348" s="411"/>
      <c r="Z348" s="411">
        <v>8.3333333333333329E-2</v>
      </c>
      <c r="AA348" s="122">
        <v>8.3299999999999999E-2</v>
      </c>
      <c r="AB348" s="176" t="s">
        <v>2729</v>
      </c>
      <c r="AC348" s="411">
        <v>8.3333333333333329E-2</v>
      </c>
      <c r="AD348" s="122">
        <v>8.3299999999999999E-2</v>
      </c>
      <c r="AE348" s="176" t="s">
        <v>2730</v>
      </c>
      <c r="AF348" s="411">
        <v>8.3333333333333329E-2</v>
      </c>
      <c r="AG348" s="254">
        <v>8.3299999999999999E-2</v>
      </c>
      <c r="AH348" s="196" t="s">
        <v>2731</v>
      </c>
      <c r="AI348" s="411">
        <v>8.3333333333333329E-2</v>
      </c>
      <c r="AJ348" s="397">
        <v>8.3299999999999999E-2</v>
      </c>
      <c r="AK348" s="411" t="s">
        <v>2732</v>
      </c>
      <c r="AL348" s="411">
        <v>8.3333333333333329E-2</v>
      </c>
      <c r="AM348" s="411"/>
      <c r="AN348" s="411"/>
      <c r="AO348" s="411">
        <v>8.3333333333333329E-2</v>
      </c>
      <c r="AP348" s="411"/>
      <c r="AQ348" s="411"/>
      <c r="AR348" s="411">
        <v>8.3333333333333329E-2</v>
      </c>
      <c r="AS348" s="411"/>
      <c r="AT348" s="411"/>
      <c r="AU348" s="411">
        <v>8.3333333333333329E-2</v>
      </c>
      <c r="AV348" s="411"/>
      <c r="AW348" s="411"/>
      <c r="AX348" s="411">
        <v>8.3333333333333329E-2</v>
      </c>
      <c r="AY348" s="411"/>
      <c r="AZ348" s="411"/>
      <c r="BA348" s="192">
        <v>8.3333333333333329E-2</v>
      </c>
      <c r="BB348" s="143"/>
      <c r="BC348" s="143"/>
      <c r="BD348" s="413">
        <f t="shared" si="29"/>
        <v>0.49999999999999994</v>
      </c>
      <c r="BE348" s="413">
        <f t="shared" si="28"/>
        <v>0.49979999999999997</v>
      </c>
      <c r="BF348" s="52">
        <f t="shared" si="24"/>
        <v>0.99960000000000004</v>
      </c>
      <c r="BG348" s="47"/>
    </row>
    <row r="349" spans="2:59" s="2" customFormat="1" ht="48" hidden="1" customHeight="1">
      <c r="B349" s="44" t="s">
        <v>393</v>
      </c>
      <c r="C349" s="27" t="s">
        <v>2733</v>
      </c>
      <c r="D349" s="663" t="s">
        <v>33</v>
      </c>
      <c r="E349" s="416" t="s">
        <v>394</v>
      </c>
      <c r="F349" s="416" t="s">
        <v>2734</v>
      </c>
      <c r="G349" s="416" t="s">
        <v>2735</v>
      </c>
      <c r="H349" s="416" t="s">
        <v>380</v>
      </c>
      <c r="I349" s="416">
        <v>1</v>
      </c>
      <c r="J349" s="416" t="s">
        <v>2736</v>
      </c>
      <c r="K349" s="416" t="s">
        <v>79</v>
      </c>
      <c r="L349" s="416" t="s">
        <v>358</v>
      </c>
      <c r="M349" s="416" t="s">
        <v>2737</v>
      </c>
      <c r="N349" s="416" t="s">
        <v>2738</v>
      </c>
      <c r="O349" s="74">
        <v>44197</v>
      </c>
      <c r="P349" s="74">
        <v>44561</v>
      </c>
      <c r="Q349" s="166">
        <f t="shared" si="25"/>
        <v>0.50649999999999995</v>
      </c>
      <c r="R349" s="167">
        <v>1</v>
      </c>
      <c r="S349" s="141">
        <f t="shared" si="23"/>
        <v>0.99960000000000016</v>
      </c>
      <c r="T349" s="123">
        <v>8.3299999999999999E-2</v>
      </c>
      <c r="U349" s="123">
        <v>0.09</v>
      </c>
      <c r="V349" s="141" t="s">
        <v>395</v>
      </c>
      <c r="W349" s="123">
        <v>8.3299999999999999E-2</v>
      </c>
      <c r="X349" s="123">
        <v>8.3299999999999999E-2</v>
      </c>
      <c r="Y349" s="123">
        <v>8.3299999999999999E-2</v>
      </c>
      <c r="Z349" s="123">
        <v>8.3299999999999999E-2</v>
      </c>
      <c r="AA349" s="124">
        <v>8.3299999999999999E-2</v>
      </c>
      <c r="AB349" s="79" t="s">
        <v>2739</v>
      </c>
      <c r="AC349" s="123">
        <v>8.3299999999999999E-2</v>
      </c>
      <c r="AD349" s="124">
        <v>8.3299999999999999E-2</v>
      </c>
      <c r="AE349" s="135" t="s">
        <v>396</v>
      </c>
      <c r="AF349" s="123">
        <v>8.3299999999999999E-2</v>
      </c>
      <c r="AG349" s="124">
        <v>8.3299999999999999E-2</v>
      </c>
      <c r="AH349" s="155" t="s">
        <v>2740</v>
      </c>
      <c r="AI349" s="123">
        <v>8.3299999999999999E-2</v>
      </c>
      <c r="AJ349" s="123">
        <v>8.3299999999999999E-2</v>
      </c>
      <c r="AK349" s="123" t="s">
        <v>2741</v>
      </c>
      <c r="AL349" s="123">
        <v>8.3299999999999999E-2</v>
      </c>
      <c r="AM349" s="123"/>
      <c r="AN349" s="123"/>
      <c r="AO349" s="123">
        <v>8.3299999999999999E-2</v>
      </c>
      <c r="AP349" s="123"/>
      <c r="AQ349" s="123"/>
      <c r="AR349" s="123">
        <v>8.3299999999999999E-2</v>
      </c>
      <c r="AS349" s="123"/>
      <c r="AT349" s="123"/>
      <c r="AU349" s="123">
        <v>8.3299999999999999E-2</v>
      </c>
      <c r="AV349" s="123"/>
      <c r="AW349" s="123"/>
      <c r="AX349" s="123">
        <v>8.3299999999999999E-2</v>
      </c>
      <c r="AY349" s="123"/>
      <c r="AZ349" s="123"/>
      <c r="BA349" s="226">
        <v>8.3299999999999999E-2</v>
      </c>
      <c r="BB349" s="141"/>
      <c r="BC349" s="141"/>
      <c r="BD349" s="229">
        <f>(+T349+W349+Z349+AC349+AF349+AI349)/6</f>
        <v>8.3299999999999999E-2</v>
      </c>
      <c r="BE349" s="229">
        <f>(+U349+X349+AA349+AD349+AG349+AJ349)/6</f>
        <v>8.4416666666666654E-2</v>
      </c>
      <c r="BF349" s="75">
        <f t="shared" si="24"/>
        <v>1.0134053621448578</v>
      </c>
      <c r="BG349" s="2">
        <f>+AVERAGE(BF349:BF350)</f>
        <v>1.106702681072429</v>
      </c>
    </row>
    <row r="350" spans="2:59" s="2" customFormat="1" ht="72" hidden="1" customHeight="1" thickBot="1">
      <c r="B350" s="44" t="s">
        <v>398</v>
      </c>
      <c r="C350" s="27" t="s">
        <v>2742</v>
      </c>
      <c r="D350" s="665"/>
      <c r="E350" s="415" t="s">
        <v>399</v>
      </c>
      <c r="F350" s="415" t="s">
        <v>2743</v>
      </c>
      <c r="G350" s="192" t="s">
        <v>2744</v>
      </c>
      <c r="H350" s="415" t="s">
        <v>380</v>
      </c>
      <c r="I350" s="415">
        <v>1</v>
      </c>
      <c r="J350" s="415" t="s">
        <v>2745</v>
      </c>
      <c r="K350" s="415" t="s">
        <v>79</v>
      </c>
      <c r="L350" s="415" t="s">
        <v>2746</v>
      </c>
      <c r="M350" s="415" t="s">
        <v>2176</v>
      </c>
      <c r="N350" s="415" t="s">
        <v>2738</v>
      </c>
      <c r="O350" s="64">
        <v>44197</v>
      </c>
      <c r="P350" s="64">
        <v>44561</v>
      </c>
      <c r="Q350" s="227">
        <f t="shared" si="25"/>
        <v>0.6</v>
      </c>
      <c r="R350" s="227">
        <v>1</v>
      </c>
      <c r="S350" s="66">
        <f t="shared" si="23"/>
        <v>1</v>
      </c>
      <c r="T350" s="415">
        <v>0</v>
      </c>
      <c r="U350" s="273">
        <v>0.1</v>
      </c>
      <c r="V350" s="66" t="s">
        <v>400</v>
      </c>
      <c r="W350" s="415">
        <v>0</v>
      </c>
      <c r="X350" s="292">
        <v>0.05</v>
      </c>
      <c r="Y350" s="66" t="s">
        <v>401</v>
      </c>
      <c r="Z350" s="415">
        <v>0</v>
      </c>
      <c r="AA350" s="127">
        <v>0.03</v>
      </c>
      <c r="AB350" s="193" t="s">
        <v>2747</v>
      </c>
      <c r="AC350" s="415">
        <v>0</v>
      </c>
      <c r="AD350" s="302">
        <v>0.02</v>
      </c>
      <c r="AE350" s="366" t="s">
        <v>402</v>
      </c>
      <c r="AF350" s="65">
        <v>0.25</v>
      </c>
      <c r="AG350" s="127">
        <v>0.05</v>
      </c>
      <c r="AH350" s="206" t="s">
        <v>2748</v>
      </c>
      <c r="AI350" s="65">
        <v>0.25</v>
      </c>
      <c r="AJ350" s="65">
        <v>0.35</v>
      </c>
      <c r="AK350" s="415" t="s">
        <v>2749</v>
      </c>
      <c r="AL350" s="415">
        <v>0</v>
      </c>
      <c r="AM350" s="415"/>
      <c r="AN350" s="415"/>
      <c r="AO350" s="415">
        <v>0</v>
      </c>
      <c r="AP350" s="415"/>
      <c r="AQ350" s="415"/>
      <c r="AR350" s="65">
        <v>0.25</v>
      </c>
      <c r="AS350" s="415"/>
      <c r="AT350" s="415"/>
      <c r="AU350" s="415">
        <v>0</v>
      </c>
      <c r="AV350" s="415"/>
      <c r="AW350" s="415"/>
      <c r="AX350" s="415">
        <v>0</v>
      </c>
      <c r="AY350" s="415"/>
      <c r="AZ350" s="415"/>
      <c r="BA350" s="177">
        <v>0.25</v>
      </c>
      <c r="BB350" s="66"/>
      <c r="BC350" s="66"/>
      <c r="BD350" s="413">
        <f t="shared" ref="BD350:BD372" si="30">+T350+W350+Z350+AC350+AF350+AI350</f>
        <v>0.5</v>
      </c>
      <c r="BE350" s="413">
        <f t="shared" ref="BE350:BE372" si="31">+U350+X350+AA350+AD350+AG350+AJ350</f>
        <v>0.6</v>
      </c>
      <c r="BF350" s="67">
        <f t="shared" si="24"/>
        <v>1.2</v>
      </c>
    </row>
    <row r="351" spans="2:59" s="2" customFormat="1" ht="36" hidden="1" customHeight="1">
      <c r="B351" s="44" t="s">
        <v>403</v>
      </c>
      <c r="C351" s="27" t="s">
        <v>2750</v>
      </c>
      <c r="D351" s="672" t="s">
        <v>34</v>
      </c>
      <c r="E351" s="647" t="s">
        <v>404</v>
      </c>
      <c r="F351" s="647" t="s">
        <v>405</v>
      </c>
      <c r="G351" s="409" t="s">
        <v>2751</v>
      </c>
      <c r="H351" s="409" t="s">
        <v>472</v>
      </c>
      <c r="I351" s="409">
        <v>0.5</v>
      </c>
      <c r="J351" s="409" t="s">
        <v>406</v>
      </c>
      <c r="K351" s="409" t="s">
        <v>73</v>
      </c>
      <c r="L351" s="409" t="s">
        <v>2752</v>
      </c>
      <c r="M351" s="409" t="s">
        <v>2753</v>
      </c>
      <c r="N351" s="409" t="s">
        <v>2754</v>
      </c>
      <c r="O351" s="37">
        <v>44197</v>
      </c>
      <c r="P351" s="37">
        <v>44561</v>
      </c>
      <c r="Q351" s="409">
        <f t="shared" si="25"/>
        <v>0.53846153846153855</v>
      </c>
      <c r="R351" s="409">
        <v>52</v>
      </c>
      <c r="S351" s="412">
        <f t="shared" si="23"/>
        <v>26.5</v>
      </c>
      <c r="T351" s="409">
        <f>4/R351</f>
        <v>7.6923076923076927E-2</v>
      </c>
      <c r="U351" s="409">
        <f>+(4/4)*T351</f>
        <v>7.6923076923076927E-2</v>
      </c>
      <c r="V351" s="409" t="s">
        <v>2755</v>
      </c>
      <c r="W351" s="409">
        <f>4/R351</f>
        <v>7.6923076923076927E-2</v>
      </c>
      <c r="X351" s="409">
        <f>+(8/4)*W351</f>
        <v>0.15384615384615385</v>
      </c>
      <c r="Y351" s="409" t="s">
        <v>2755</v>
      </c>
      <c r="Z351" s="409">
        <f>4/R351</f>
        <v>7.6923076923076927E-2</v>
      </c>
      <c r="AA351" s="54">
        <f>+(4/4)*Z351</f>
        <v>7.6923076923076927E-2</v>
      </c>
      <c r="AB351" s="54" t="s">
        <v>2755</v>
      </c>
      <c r="AC351" s="409">
        <f>4/R351</f>
        <v>7.6923076923076927E-2</v>
      </c>
      <c r="AD351" s="54">
        <f>+(4/4)*AC351</f>
        <v>7.6923076923076927E-2</v>
      </c>
      <c r="AE351" s="54" t="s">
        <v>2756</v>
      </c>
      <c r="AF351" s="409">
        <f>5/R351</f>
        <v>9.6153846153846159E-2</v>
      </c>
      <c r="AG351" s="250">
        <f>+(4/5)*AF351</f>
        <v>7.6923076923076927E-2</v>
      </c>
      <c r="AH351" s="152" t="s">
        <v>2757</v>
      </c>
      <c r="AI351" s="409">
        <f>5/R351</f>
        <v>9.6153846153846159E-2</v>
      </c>
      <c r="AJ351" s="409">
        <f>+(4/5)*AI351</f>
        <v>7.6923076923076927E-2</v>
      </c>
      <c r="AK351" s="409" t="s">
        <v>2758</v>
      </c>
      <c r="AL351" s="409">
        <v>5</v>
      </c>
      <c r="AM351" s="409"/>
      <c r="AN351" s="409"/>
      <c r="AO351" s="409">
        <v>5</v>
      </c>
      <c r="AP351" s="409"/>
      <c r="AQ351" s="409"/>
      <c r="AR351" s="409">
        <v>4</v>
      </c>
      <c r="AS351" s="409"/>
      <c r="AT351" s="409"/>
      <c r="AU351" s="409">
        <v>4</v>
      </c>
      <c r="AV351" s="409"/>
      <c r="AW351" s="409"/>
      <c r="AX351" s="409">
        <v>4</v>
      </c>
      <c r="AY351" s="409"/>
      <c r="AZ351" s="409"/>
      <c r="BA351" s="175">
        <v>4</v>
      </c>
      <c r="BB351" s="412"/>
      <c r="BC351" s="412"/>
      <c r="BD351" s="413">
        <f t="shared" si="30"/>
        <v>0.5</v>
      </c>
      <c r="BE351" s="413">
        <f t="shared" si="31"/>
        <v>0.53846153846153855</v>
      </c>
      <c r="BF351" s="46">
        <f t="shared" si="24"/>
        <v>1.0769230769230771</v>
      </c>
      <c r="BG351" s="2">
        <f>+AVERAGE(BF351:BF356)</f>
        <v>1.0683760683760684</v>
      </c>
    </row>
    <row r="352" spans="2:59" s="2" customFormat="1" ht="96" hidden="1">
      <c r="B352" s="44" t="s">
        <v>403</v>
      </c>
      <c r="C352" s="27" t="s">
        <v>2759</v>
      </c>
      <c r="D352" s="673"/>
      <c r="E352" s="648"/>
      <c r="F352" s="648"/>
      <c r="G352" s="410" t="s">
        <v>2760</v>
      </c>
      <c r="H352" s="410" t="s">
        <v>472</v>
      </c>
      <c r="I352" s="410">
        <v>0.1</v>
      </c>
      <c r="J352" s="410" t="s">
        <v>406</v>
      </c>
      <c r="K352" s="410" t="s">
        <v>79</v>
      </c>
      <c r="L352" s="410" t="s">
        <v>2761</v>
      </c>
      <c r="M352" s="410" t="s">
        <v>2762</v>
      </c>
      <c r="N352" s="410" t="s">
        <v>2754</v>
      </c>
      <c r="O352" s="38">
        <v>44197</v>
      </c>
      <c r="P352" s="38">
        <v>44561</v>
      </c>
      <c r="Q352" s="55">
        <f t="shared" si="25"/>
        <v>0.49979999999999997</v>
      </c>
      <c r="R352" s="410">
        <v>1</v>
      </c>
      <c r="S352" s="413">
        <f t="shared" ref="S352:S372" si="32">+T352+W352+Z352+AC352+AF352+AI352+AL352+AO352+AR352+AU352+AX352+BA352</f>
        <v>1.0017999999999998</v>
      </c>
      <c r="T352" s="410">
        <v>8.3299999999999999E-2</v>
      </c>
      <c r="U352" s="410">
        <v>8.3299999999999999E-2</v>
      </c>
      <c r="V352" s="410" t="s">
        <v>2763</v>
      </c>
      <c r="W352" s="410">
        <v>8.3299999999999999E-2</v>
      </c>
      <c r="X352" s="410">
        <v>8.3299999999999999E-2</v>
      </c>
      <c r="Y352" s="410"/>
      <c r="Z352" s="410">
        <v>8.3299999999999999E-2</v>
      </c>
      <c r="AA352" s="410">
        <v>8.3299999999999999E-2</v>
      </c>
      <c r="AB352" s="51" t="s">
        <v>2763</v>
      </c>
      <c r="AC352" s="410">
        <v>8.3299999999999999E-2</v>
      </c>
      <c r="AD352" s="410">
        <v>8.3299999999999999E-2</v>
      </c>
      <c r="AE352" s="51" t="s">
        <v>2763</v>
      </c>
      <c r="AF352" s="410">
        <v>8.3299999999999999E-2</v>
      </c>
      <c r="AG352" s="410">
        <v>8.3299999999999999E-2</v>
      </c>
      <c r="AH352" s="154" t="s">
        <v>2763</v>
      </c>
      <c r="AI352" s="45">
        <v>8.3299999999999999E-2</v>
      </c>
      <c r="AJ352" s="45">
        <v>8.3299999999999999E-2</v>
      </c>
      <c r="AK352" s="410" t="s">
        <v>2763</v>
      </c>
      <c r="AL352" s="410">
        <v>8.3000000000000004E-2</v>
      </c>
      <c r="AM352" s="410"/>
      <c r="AN352" s="410"/>
      <c r="AO352" s="410">
        <v>8.3000000000000004E-2</v>
      </c>
      <c r="AP352" s="410"/>
      <c r="AQ352" s="410"/>
      <c r="AR352" s="410">
        <v>8.3000000000000004E-2</v>
      </c>
      <c r="AS352" s="410"/>
      <c r="AT352" s="410"/>
      <c r="AU352" s="410">
        <v>8.3000000000000004E-2</v>
      </c>
      <c r="AV352" s="410"/>
      <c r="AW352" s="410"/>
      <c r="AX352" s="410">
        <v>8.3000000000000004E-2</v>
      </c>
      <c r="AY352" s="410"/>
      <c r="AZ352" s="410"/>
      <c r="BA352" s="137">
        <v>8.6999999999999994E-2</v>
      </c>
      <c r="BB352" s="413"/>
      <c r="BC352" s="413"/>
      <c r="BD352" s="413">
        <f t="shared" si="30"/>
        <v>0.49979999999999997</v>
      </c>
      <c r="BE352" s="413">
        <f t="shared" si="31"/>
        <v>0.49979999999999997</v>
      </c>
      <c r="BF352" s="48">
        <f t="shared" si="24"/>
        <v>1</v>
      </c>
    </row>
    <row r="353" spans="2:59" s="2" customFormat="1" ht="72" hidden="1">
      <c r="B353" s="44" t="s">
        <v>403</v>
      </c>
      <c r="C353" s="27" t="s">
        <v>2764</v>
      </c>
      <c r="D353" s="673"/>
      <c r="E353" s="648"/>
      <c r="F353" s="648"/>
      <c r="G353" s="410" t="s">
        <v>2765</v>
      </c>
      <c r="H353" s="410" t="s">
        <v>472</v>
      </c>
      <c r="I353" s="410">
        <v>0.1</v>
      </c>
      <c r="J353" s="410" t="s">
        <v>406</v>
      </c>
      <c r="K353" s="410" t="s">
        <v>73</v>
      </c>
      <c r="L353" s="410" t="s">
        <v>2766</v>
      </c>
      <c r="M353" s="410" t="s">
        <v>2767</v>
      </c>
      <c r="N353" s="410" t="s">
        <v>2754</v>
      </c>
      <c r="O353" s="38">
        <v>44197</v>
      </c>
      <c r="P353" s="38">
        <v>44561</v>
      </c>
      <c r="Q353" s="410">
        <f t="shared" ref="Q353:Q372" si="33">+U353+X353+AA353+AD353+AG353+AJ353+AM353+AP353+AS353+AV353+AY353+BB353</f>
        <v>0.58333333333333326</v>
      </c>
      <c r="R353" s="410">
        <v>12</v>
      </c>
      <c r="S353" s="413">
        <f t="shared" si="32"/>
        <v>6.5</v>
      </c>
      <c r="T353" s="410">
        <v>8.3333333333333329E-2</v>
      </c>
      <c r="U353" s="410">
        <v>8.3333333333333329E-2</v>
      </c>
      <c r="V353" s="410" t="s">
        <v>2768</v>
      </c>
      <c r="W353" s="410">
        <v>8.3333333333333329E-2</v>
      </c>
      <c r="X353" s="410">
        <v>0.16666666666666666</v>
      </c>
      <c r="Y353" s="410" t="s">
        <v>2769</v>
      </c>
      <c r="Z353" s="410">
        <v>8.3333333333333329E-2</v>
      </c>
      <c r="AA353" s="51">
        <v>8.3333333333333329E-2</v>
      </c>
      <c r="AB353" s="51" t="s">
        <v>2770</v>
      </c>
      <c r="AC353" s="410">
        <v>8.3333333333333329E-2</v>
      </c>
      <c r="AD353" s="51">
        <v>8.3333333333333329E-2</v>
      </c>
      <c r="AE353" s="51" t="s">
        <v>2771</v>
      </c>
      <c r="AF353" s="410">
        <v>8.3333333333333329E-2</v>
      </c>
      <c r="AG353" s="241">
        <v>8.3333333333333329E-2</v>
      </c>
      <c r="AH353" s="154" t="s">
        <v>2772</v>
      </c>
      <c r="AI353" s="410">
        <f t="shared" ref="AI353:AI358" si="34">1/R353</f>
        <v>8.3333333333333329E-2</v>
      </c>
      <c r="AJ353" s="410">
        <f t="shared" ref="AJ353:AJ358" si="35">1*AI353</f>
        <v>8.3333333333333329E-2</v>
      </c>
      <c r="AK353" s="410" t="s">
        <v>2773</v>
      </c>
      <c r="AL353" s="410">
        <v>1</v>
      </c>
      <c r="AM353" s="410"/>
      <c r="AN353" s="410"/>
      <c r="AO353" s="410">
        <v>1</v>
      </c>
      <c r="AP353" s="410"/>
      <c r="AQ353" s="410"/>
      <c r="AR353" s="410">
        <v>1</v>
      </c>
      <c r="AS353" s="410"/>
      <c r="AT353" s="410"/>
      <c r="AU353" s="410">
        <v>1</v>
      </c>
      <c r="AV353" s="410"/>
      <c r="AW353" s="410"/>
      <c r="AX353" s="410">
        <v>1</v>
      </c>
      <c r="AY353" s="410"/>
      <c r="AZ353" s="410"/>
      <c r="BA353" s="137">
        <v>1</v>
      </c>
      <c r="BB353" s="413"/>
      <c r="BC353" s="413"/>
      <c r="BD353" s="413">
        <f t="shared" si="30"/>
        <v>0.49999999999999994</v>
      </c>
      <c r="BE353" s="413">
        <f t="shared" si="31"/>
        <v>0.58333333333333326</v>
      </c>
      <c r="BF353" s="48">
        <f t="shared" ref="BF353:BF372" si="36">+IF(BD353=0,+IF(BE353=0,"No programación, No avance",+IF(BE353&gt;0,+IF(BD353=0,BE353/R353))),BE353/BD353)</f>
        <v>1.1666666666666667</v>
      </c>
    </row>
    <row r="354" spans="2:59" s="2" customFormat="1" ht="108" hidden="1">
      <c r="B354" s="44" t="s">
        <v>403</v>
      </c>
      <c r="C354" s="27" t="s">
        <v>2774</v>
      </c>
      <c r="D354" s="673"/>
      <c r="E354" s="648"/>
      <c r="F354" s="648"/>
      <c r="G354" s="410" t="s">
        <v>2775</v>
      </c>
      <c r="H354" s="410" t="s">
        <v>472</v>
      </c>
      <c r="I354" s="410">
        <v>0.05</v>
      </c>
      <c r="J354" s="410" t="s">
        <v>406</v>
      </c>
      <c r="K354" s="410" t="s">
        <v>73</v>
      </c>
      <c r="L354" s="410" t="s">
        <v>2776</v>
      </c>
      <c r="M354" s="410" t="s">
        <v>2777</v>
      </c>
      <c r="N354" s="410" t="s">
        <v>2754</v>
      </c>
      <c r="O354" s="38">
        <v>44197</v>
      </c>
      <c r="P354" s="38">
        <v>44561</v>
      </c>
      <c r="Q354" s="410">
        <f t="shared" si="33"/>
        <v>0.58333333333333326</v>
      </c>
      <c r="R354" s="410">
        <v>12</v>
      </c>
      <c r="S354" s="413">
        <f t="shared" si="32"/>
        <v>6.5</v>
      </c>
      <c r="T354" s="410">
        <v>8.3333333333333329E-2</v>
      </c>
      <c r="U354" s="410">
        <v>8.3333333333333329E-2</v>
      </c>
      <c r="V354" s="410" t="s">
        <v>2778</v>
      </c>
      <c r="W354" s="410">
        <v>8.3333333333333329E-2</v>
      </c>
      <c r="X354" s="410">
        <v>0.16666666666666666</v>
      </c>
      <c r="Y354" s="410" t="s">
        <v>2778</v>
      </c>
      <c r="Z354" s="410">
        <v>8.3333333333333329E-2</v>
      </c>
      <c r="AA354" s="51">
        <v>8.3333333333333329E-2</v>
      </c>
      <c r="AB354" s="51" t="s">
        <v>2779</v>
      </c>
      <c r="AC354" s="410">
        <v>8.3333333333333329E-2</v>
      </c>
      <c r="AD354" s="51">
        <v>8.3333333333333329E-2</v>
      </c>
      <c r="AE354" s="51" t="s">
        <v>2779</v>
      </c>
      <c r="AF354" s="410">
        <v>8.3333333333333329E-2</v>
      </c>
      <c r="AG354" s="241">
        <v>8.3333333333333329E-2</v>
      </c>
      <c r="AH354" s="154" t="s">
        <v>2780</v>
      </c>
      <c r="AI354" s="410">
        <f t="shared" si="34"/>
        <v>8.3333333333333329E-2</v>
      </c>
      <c r="AJ354" s="410">
        <f t="shared" si="35"/>
        <v>8.3333333333333329E-2</v>
      </c>
      <c r="AK354" s="410" t="s">
        <v>2781</v>
      </c>
      <c r="AL354" s="410">
        <v>1</v>
      </c>
      <c r="AM354" s="410"/>
      <c r="AN354" s="410"/>
      <c r="AO354" s="410">
        <v>1</v>
      </c>
      <c r="AP354" s="410"/>
      <c r="AQ354" s="410"/>
      <c r="AR354" s="410">
        <v>1</v>
      </c>
      <c r="AS354" s="410"/>
      <c r="AT354" s="410"/>
      <c r="AU354" s="410">
        <v>1</v>
      </c>
      <c r="AV354" s="410"/>
      <c r="AW354" s="410"/>
      <c r="AX354" s="410">
        <v>1</v>
      </c>
      <c r="AY354" s="410"/>
      <c r="AZ354" s="410"/>
      <c r="BA354" s="137">
        <v>1</v>
      </c>
      <c r="BB354" s="413"/>
      <c r="BC354" s="413"/>
      <c r="BD354" s="413">
        <f t="shared" si="30"/>
        <v>0.49999999999999994</v>
      </c>
      <c r="BE354" s="413">
        <f t="shared" si="31"/>
        <v>0.58333333333333326</v>
      </c>
      <c r="BF354" s="48">
        <f t="shared" si="36"/>
        <v>1.1666666666666667</v>
      </c>
    </row>
    <row r="355" spans="2:59" s="2" customFormat="1" ht="84" hidden="1">
      <c r="B355" s="44" t="s">
        <v>403</v>
      </c>
      <c r="C355" s="27" t="s">
        <v>2782</v>
      </c>
      <c r="D355" s="673"/>
      <c r="E355" s="648"/>
      <c r="F355" s="648"/>
      <c r="G355" s="410" t="s">
        <v>2783</v>
      </c>
      <c r="H355" s="410" t="s">
        <v>472</v>
      </c>
      <c r="I355" s="410">
        <v>0.17</v>
      </c>
      <c r="J355" s="410" t="s">
        <v>406</v>
      </c>
      <c r="K355" s="410" t="s">
        <v>73</v>
      </c>
      <c r="L355" s="410" t="s">
        <v>2784</v>
      </c>
      <c r="M355" s="410" t="s">
        <v>2785</v>
      </c>
      <c r="N355" s="410" t="s">
        <v>2754</v>
      </c>
      <c r="O355" s="38">
        <v>44197</v>
      </c>
      <c r="P355" s="38">
        <v>44561</v>
      </c>
      <c r="Q355" s="410">
        <f t="shared" si="33"/>
        <v>0.5</v>
      </c>
      <c r="R355" s="410">
        <v>4</v>
      </c>
      <c r="S355" s="413">
        <f t="shared" si="32"/>
        <v>2.5</v>
      </c>
      <c r="T355" s="410">
        <v>0</v>
      </c>
      <c r="U355" s="410">
        <v>0</v>
      </c>
      <c r="V355" s="410" t="s">
        <v>2786</v>
      </c>
      <c r="W355" s="410">
        <v>0</v>
      </c>
      <c r="X355" s="410">
        <v>0</v>
      </c>
      <c r="Y355" s="410" t="s">
        <v>2786</v>
      </c>
      <c r="Z355" s="410">
        <f>1/R355</f>
        <v>0.25</v>
      </c>
      <c r="AA355" s="51">
        <f>+(1/1)*Z355</f>
        <v>0.25</v>
      </c>
      <c r="AB355" s="51" t="s">
        <v>2787</v>
      </c>
      <c r="AC355" s="410">
        <v>0</v>
      </c>
      <c r="AD355" s="51">
        <v>0</v>
      </c>
      <c r="AE355" s="51" t="s">
        <v>2786</v>
      </c>
      <c r="AF355" s="410">
        <v>0</v>
      </c>
      <c r="AG355" s="241">
        <v>0</v>
      </c>
      <c r="AH355" s="154" t="s">
        <v>2788</v>
      </c>
      <c r="AI355" s="410">
        <f t="shared" si="34"/>
        <v>0.25</v>
      </c>
      <c r="AJ355" s="410">
        <f t="shared" si="35"/>
        <v>0.25</v>
      </c>
      <c r="AK355" s="410" t="s">
        <v>2789</v>
      </c>
      <c r="AL355" s="410">
        <v>0</v>
      </c>
      <c r="AM355" s="410"/>
      <c r="AN355" s="410"/>
      <c r="AO355" s="410">
        <v>0</v>
      </c>
      <c r="AP355" s="410"/>
      <c r="AQ355" s="410"/>
      <c r="AR355" s="410">
        <v>1</v>
      </c>
      <c r="AS355" s="410"/>
      <c r="AT355" s="410"/>
      <c r="AU355" s="410">
        <v>0</v>
      </c>
      <c r="AV355" s="410"/>
      <c r="AW355" s="410"/>
      <c r="AX355" s="410">
        <v>0</v>
      </c>
      <c r="AY355" s="410"/>
      <c r="AZ355" s="410"/>
      <c r="BA355" s="137">
        <v>1</v>
      </c>
      <c r="BB355" s="413"/>
      <c r="BC355" s="413"/>
      <c r="BD355" s="413">
        <f t="shared" si="30"/>
        <v>0.5</v>
      </c>
      <c r="BE355" s="413">
        <f t="shared" si="31"/>
        <v>0.5</v>
      </c>
      <c r="BF355" s="48">
        <f t="shared" si="36"/>
        <v>1</v>
      </c>
    </row>
    <row r="356" spans="2:59" s="2" customFormat="1" ht="120" hidden="1">
      <c r="B356" s="44" t="s">
        <v>403</v>
      </c>
      <c r="C356" s="27" t="s">
        <v>2790</v>
      </c>
      <c r="D356" s="674"/>
      <c r="E356" s="649"/>
      <c r="F356" s="649"/>
      <c r="G356" s="411" t="s">
        <v>2791</v>
      </c>
      <c r="H356" s="411" t="s">
        <v>472</v>
      </c>
      <c r="I356" s="411">
        <v>0.08</v>
      </c>
      <c r="J356" s="411" t="s">
        <v>406</v>
      </c>
      <c r="K356" s="411" t="s">
        <v>73</v>
      </c>
      <c r="L356" s="411" t="s">
        <v>2792</v>
      </c>
      <c r="M356" s="411" t="s">
        <v>1027</v>
      </c>
      <c r="N356" s="411" t="s">
        <v>2754</v>
      </c>
      <c r="O356" s="42">
        <v>44197</v>
      </c>
      <c r="P356" s="42">
        <v>44561</v>
      </c>
      <c r="Q356" s="411">
        <f t="shared" si="33"/>
        <v>0.5</v>
      </c>
      <c r="R356" s="411">
        <v>4</v>
      </c>
      <c r="S356" s="143">
        <f t="shared" si="32"/>
        <v>2.5</v>
      </c>
      <c r="T356" s="411">
        <v>0</v>
      </c>
      <c r="U356" s="411">
        <v>0</v>
      </c>
      <c r="V356" s="411" t="s">
        <v>2786</v>
      </c>
      <c r="W356" s="411">
        <v>0</v>
      </c>
      <c r="X356" s="411">
        <v>0</v>
      </c>
      <c r="Y356" s="411" t="s">
        <v>2786</v>
      </c>
      <c r="Z356" s="410">
        <f>1/R356</f>
        <v>0.25</v>
      </c>
      <c r="AA356" s="51">
        <f>+(1/1)*Z356</f>
        <v>0.25</v>
      </c>
      <c r="AB356" s="367" t="s">
        <v>2793</v>
      </c>
      <c r="AC356" s="411">
        <v>0</v>
      </c>
      <c r="AD356" s="176">
        <v>0</v>
      </c>
      <c r="AE356" s="176" t="s">
        <v>2786</v>
      </c>
      <c r="AF356" s="411">
        <v>0</v>
      </c>
      <c r="AG356" s="242">
        <v>0</v>
      </c>
      <c r="AH356" s="196" t="s">
        <v>2788</v>
      </c>
      <c r="AI356" s="410">
        <f t="shared" si="34"/>
        <v>0.25</v>
      </c>
      <c r="AJ356" s="410">
        <f t="shared" si="35"/>
        <v>0.25</v>
      </c>
      <c r="AK356" s="411" t="s">
        <v>2794</v>
      </c>
      <c r="AL356" s="411">
        <v>0</v>
      </c>
      <c r="AM356" s="411"/>
      <c r="AN356" s="411"/>
      <c r="AO356" s="411">
        <v>0</v>
      </c>
      <c r="AP356" s="411"/>
      <c r="AQ356" s="411"/>
      <c r="AR356" s="411">
        <v>1</v>
      </c>
      <c r="AS356" s="411"/>
      <c r="AT356" s="411"/>
      <c r="AU356" s="411">
        <v>0</v>
      </c>
      <c r="AV356" s="411"/>
      <c r="AW356" s="411"/>
      <c r="AX356" s="411">
        <v>0</v>
      </c>
      <c r="AY356" s="411"/>
      <c r="AZ356" s="411"/>
      <c r="BA356" s="192">
        <v>1</v>
      </c>
      <c r="BB356" s="143"/>
      <c r="BC356" s="143"/>
      <c r="BD356" s="413">
        <f t="shared" si="30"/>
        <v>0.5</v>
      </c>
      <c r="BE356" s="413">
        <f t="shared" si="31"/>
        <v>0.5</v>
      </c>
      <c r="BF356" s="52">
        <f t="shared" si="36"/>
        <v>1</v>
      </c>
    </row>
    <row r="357" spans="2:59" ht="90" hidden="1">
      <c r="B357" s="36" t="s">
        <v>229</v>
      </c>
      <c r="C357" s="36" t="s">
        <v>2795</v>
      </c>
      <c r="D357" s="675" t="s">
        <v>19</v>
      </c>
      <c r="E357" s="416" t="s">
        <v>230</v>
      </c>
      <c r="F357" s="416" t="s">
        <v>231</v>
      </c>
      <c r="G357" s="416" t="s">
        <v>231</v>
      </c>
      <c r="H357" s="416" t="s">
        <v>472</v>
      </c>
      <c r="I357" s="416">
        <v>0.33</v>
      </c>
      <c r="J357" s="416" t="s">
        <v>2796</v>
      </c>
      <c r="K357" s="416" t="s">
        <v>73</v>
      </c>
      <c r="L357" s="416" t="s">
        <v>232</v>
      </c>
      <c r="M357" s="416" t="s">
        <v>232</v>
      </c>
      <c r="N357" s="416" t="s">
        <v>2797</v>
      </c>
      <c r="O357" s="74">
        <v>44197</v>
      </c>
      <c r="P357" s="74">
        <v>44561</v>
      </c>
      <c r="Q357" s="416">
        <f t="shared" si="33"/>
        <v>0.49999999999999994</v>
      </c>
      <c r="R357" s="416">
        <v>12</v>
      </c>
      <c r="S357" s="141">
        <f t="shared" si="32"/>
        <v>6.5</v>
      </c>
      <c r="T357" s="141">
        <v>8.3333333333333329E-2</v>
      </c>
      <c r="U357" s="141">
        <v>8.3333333333333329E-2</v>
      </c>
      <c r="V357" s="416" t="s">
        <v>233</v>
      </c>
      <c r="W357" s="141">
        <v>8.3333333333333329E-2</v>
      </c>
      <c r="X357" s="141">
        <v>8.3333333333333329E-2</v>
      </c>
      <c r="Y357" s="416" t="s">
        <v>234</v>
      </c>
      <c r="Z357" s="141">
        <v>8.3333333333333329E-2</v>
      </c>
      <c r="AA357" s="135">
        <v>8.3333333333333329E-2</v>
      </c>
      <c r="AB357" s="135" t="s">
        <v>235</v>
      </c>
      <c r="AC357" s="141">
        <v>8.3333333333333329E-2</v>
      </c>
      <c r="AD357" s="135">
        <v>8.3333333333333329E-2</v>
      </c>
      <c r="AE357" s="135" t="s">
        <v>236</v>
      </c>
      <c r="AF357" s="141">
        <v>8.3333333333333329E-2</v>
      </c>
      <c r="AG357" s="135">
        <v>8.3333333333333329E-2</v>
      </c>
      <c r="AH357" s="153" t="s">
        <v>2798</v>
      </c>
      <c r="AI357" s="141">
        <f t="shared" si="34"/>
        <v>8.3333333333333329E-2</v>
      </c>
      <c r="AJ357" s="141">
        <f t="shared" si="35"/>
        <v>8.3333333333333329E-2</v>
      </c>
      <c r="AK357" s="141" t="s">
        <v>2799</v>
      </c>
      <c r="AL357" s="141">
        <v>1</v>
      </c>
      <c r="AM357" s="141"/>
      <c r="AN357" s="141"/>
      <c r="AO357" s="141">
        <v>1</v>
      </c>
      <c r="AP357" s="141"/>
      <c r="AQ357" s="141"/>
      <c r="AR357" s="141">
        <v>1</v>
      </c>
      <c r="AS357" s="141"/>
      <c r="AT357" s="141"/>
      <c r="AU357" s="141">
        <v>1</v>
      </c>
      <c r="AV357" s="141"/>
      <c r="AW357" s="141"/>
      <c r="AX357" s="141">
        <v>1</v>
      </c>
      <c r="AY357" s="141"/>
      <c r="AZ357" s="141"/>
      <c r="BA357" s="230">
        <v>1</v>
      </c>
      <c r="BB357" s="88"/>
      <c r="BC357" s="88"/>
      <c r="BD357" s="413">
        <f t="shared" si="30"/>
        <v>0.49999999999999994</v>
      </c>
      <c r="BE357" s="413">
        <f t="shared" si="31"/>
        <v>0.49999999999999994</v>
      </c>
      <c r="BF357" s="75">
        <f t="shared" si="36"/>
        <v>1</v>
      </c>
      <c r="BG357" s="5">
        <f>+AVERAGE(BF357:BF359)</f>
        <v>1.0476190476190477</v>
      </c>
    </row>
    <row r="358" spans="2:59" ht="255" hidden="1">
      <c r="B358" s="36" t="s">
        <v>237</v>
      </c>
      <c r="C358" s="36" t="s">
        <v>2800</v>
      </c>
      <c r="D358" s="676"/>
      <c r="E358" s="414" t="s">
        <v>230</v>
      </c>
      <c r="F358" s="414" t="s">
        <v>238</v>
      </c>
      <c r="G358" s="414" t="s">
        <v>2801</v>
      </c>
      <c r="H358" s="414" t="s">
        <v>472</v>
      </c>
      <c r="I358" s="414">
        <v>0.33</v>
      </c>
      <c r="J358" s="414" t="s">
        <v>2796</v>
      </c>
      <c r="K358" s="414" t="s">
        <v>73</v>
      </c>
      <c r="L358" s="414" t="s">
        <v>232</v>
      </c>
      <c r="M358" s="414" t="s">
        <v>232</v>
      </c>
      <c r="N358" s="414" t="s">
        <v>2797</v>
      </c>
      <c r="O358" s="59">
        <v>44197</v>
      </c>
      <c r="P358" s="59">
        <v>44561</v>
      </c>
      <c r="Q358" s="414">
        <f t="shared" si="33"/>
        <v>0.41666666666666663</v>
      </c>
      <c r="R358" s="414">
        <v>12</v>
      </c>
      <c r="S358" s="142">
        <f t="shared" si="32"/>
        <v>6.4166666666666661</v>
      </c>
      <c r="T358" s="142">
        <v>0</v>
      </c>
      <c r="U358" s="142">
        <v>0</v>
      </c>
      <c r="V358" s="414" t="s">
        <v>239</v>
      </c>
      <c r="W358" s="142">
        <f>1/12</f>
        <v>8.3333333333333329E-2</v>
      </c>
      <c r="X358" s="142">
        <f>1/12</f>
        <v>8.3333333333333329E-2</v>
      </c>
      <c r="Y358" s="414" t="s">
        <v>240</v>
      </c>
      <c r="Z358" s="142">
        <f>1/12</f>
        <v>8.3333333333333329E-2</v>
      </c>
      <c r="AA358" s="142">
        <f>1/12</f>
        <v>8.3333333333333329E-2</v>
      </c>
      <c r="AB358" s="136" t="s">
        <v>241</v>
      </c>
      <c r="AC358" s="142">
        <f>1/12</f>
        <v>8.3333333333333329E-2</v>
      </c>
      <c r="AD358" s="142">
        <f>1/12</f>
        <v>8.3333333333333329E-2</v>
      </c>
      <c r="AE358" s="255" t="s">
        <v>242</v>
      </c>
      <c r="AF358" s="142">
        <f>1/12</f>
        <v>8.3333333333333329E-2</v>
      </c>
      <c r="AG358" s="142">
        <f>1/12</f>
        <v>8.3333333333333329E-2</v>
      </c>
      <c r="AH358" s="228" t="s">
        <v>2802</v>
      </c>
      <c r="AI358" s="141">
        <f t="shared" si="34"/>
        <v>8.3333333333333329E-2</v>
      </c>
      <c r="AJ358" s="141">
        <f t="shared" si="35"/>
        <v>8.3333333333333329E-2</v>
      </c>
      <c r="AK358" s="142" t="s">
        <v>2803</v>
      </c>
      <c r="AL358" s="142">
        <v>1</v>
      </c>
      <c r="AM358" s="142"/>
      <c r="AN358" s="142"/>
      <c r="AO358" s="142">
        <v>1</v>
      </c>
      <c r="AP358" s="142"/>
      <c r="AQ358" s="142"/>
      <c r="AR358" s="142">
        <v>1</v>
      </c>
      <c r="AS358" s="142"/>
      <c r="AT358" s="142"/>
      <c r="AU358" s="142">
        <v>1</v>
      </c>
      <c r="AV358" s="142"/>
      <c r="AW358" s="142"/>
      <c r="AX358" s="142">
        <v>1</v>
      </c>
      <c r="AY358" s="142"/>
      <c r="AZ358" s="142"/>
      <c r="BA358" s="229">
        <v>1</v>
      </c>
      <c r="BB358" s="89"/>
      <c r="BC358" s="89"/>
      <c r="BD358" s="413">
        <f t="shared" si="30"/>
        <v>0.41666666666666663</v>
      </c>
      <c r="BE358" s="413">
        <f t="shared" si="31"/>
        <v>0.41666666666666663</v>
      </c>
      <c r="BF358" s="60">
        <f t="shared" si="36"/>
        <v>1</v>
      </c>
      <c r="BG358"/>
    </row>
    <row r="359" spans="2:59" ht="108" hidden="1">
      <c r="B359" s="93" t="s">
        <v>243</v>
      </c>
      <c r="C359" s="93" t="s">
        <v>2804</v>
      </c>
      <c r="D359" s="677"/>
      <c r="E359" s="415" t="s">
        <v>230</v>
      </c>
      <c r="F359" s="415" t="s">
        <v>244</v>
      </c>
      <c r="G359" s="415" t="s">
        <v>244</v>
      </c>
      <c r="H359" s="415" t="s">
        <v>472</v>
      </c>
      <c r="I359" s="415">
        <v>0.34</v>
      </c>
      <c r="J359" s="415" t="s">
        <v>2796</v>
      </c>
      <c r="K359" s="415" t="s">
        <v>79</v>
      </c>
      <c r="L359" s="415" t="s">
        <v>78</v>
      </c>
      <c r="M359" s="415" t="s">
        <v>2805</v>
      </c>
      <c r="N359" s="415" t="s">
        <v>2797</v>
      </c>
      <c r="O359" s="64">
        <v>44197</v>
      </c>
      <c r="P359" s="64">
        <v>44561</v>
      </c>
      <c r="Q359" s="415">
        <f t="shared" si="33"/>
        <v>0.79999999999999993</v>
      </c>
      <c r="R359" s="415">
        <v>1</v>
      </c>
      <c r="S359" s="66">
        <f t="shared" si="32"/>
        <v>1.7</v>
      </c>
      <c r="T359" s="66">
        <v>0</v>
      </c>
      <c r="U359" s="231">
        <v>0</v>
      </c>
      <c r="V359" s="415" t="s">
        <v>245</v>
      </c>
      <c r="W359" s="66">
        <v>0.2</v>
      </c>
      <c r="X359" s="231">
        <v>0.2</v>
      </c>
      <c r="Y359" s="415" t="s">
        <v>246</v>
      </c>
      <c r="Z359" s="66">
        <v>0</v>
      </c>
      <c r="AA359" s="302">
        <v>0</v>
      </c>
      <c r="AB359" s="366" t="s">
        <v>247</v>
      </c>
      <c r="AC359" s="66">
        <v>0</v>
      </c>
      <c r="AD359" s="302">
        <v>0</v>
      </c>
      <c r="AE359" s="366" t="s">
        <v>248</v>
      </c>
      <c r="AF359" s="66">
        <v>0.5</v>
      </c>
      <c r="AG359" s="398">
        <v>0.5</v>
      </c>
      <c r="AH359" s="225" t="s">
        <v>2806</v>
      </c>
      <c r="AI359" s="66">
        <v>0</v>
      </c>
      <c r="AJ359" s="66">
        <v>0.1</v>
      </c>
      <c r="AK359" s="66" t="s">
        <v>2807</v>
      </c>
      <c r="AL359" s="66">
        <v>0</v>
      </c>
      <c r="AM359" s="66"/>
      <c r="AN359" s="66"/>
      <c r="AO359" s="66">
        <v>0</v>
      </c>
      <c r="AP359" s="66"/>
      <c r="AQ359" s="66"/>
      <c r="AR359" s="66">
        <v>0</v>
      </c>
      <c r="AS359" s="66"/>
      <c r="AT359" s="66"/>
      <c r="AU359" s="66">
        <v>0</v>
      </c>
      <c r="AV359" s="66"/>
      <c r="AW359" s="66"/>
      <c r="AX359" s="66">
        <v>0</v>
      </c>
      <c r="AY359" s="66"/>
      <c r="AZ359" s="66"/>
      <c r="BA359" s="232">
        <v>1</v>
      </c>
      <c r="BB359" s="91"/>
      <c r="BC359" s="91"/>
      <c r="BD359" s="413">
        <f t="shared" si="30"/>
        <v>0.7</v>
      </c>
      <c r="BE359" s="413">
        <f t="shared" si="31"/>
        <v>0.79999999999999993</v>
      </c>
      <c r="BF359" s="67">
        <f t="shared" si="36"/>
        <v>1.1428571428571428</v>
      </c>
      <c r="BG359"/>
    </row>
    <row r="360" spans="2:59" ht="105" hidden="1">
      <c r="B360" s="105" t="s">
        <v>407</v>
      </c>
      <c r="C360" s="125" t="s">
        <v>2808</v>
      </c>
      <c r="D360" s="678" t="s">
        <v>35</v>
      </c>
      <c r="E360" s="409" t="s">
        <v>408</v>
      </c>
      <c r="F360" s="409" t="s">
        <v>409</v>
      </c>
      <c r="G360" s="409" t="s">
        <v>409</v>
      </c>
      <c r="H360" s="409" t="s">
        <v>472</v>
      </c>
      <c r="I360" s="409">
        <v>1</v>
      </c>
      <c r="J360" s="409" t="s">
        <v>2809</v>
      </c>
      <c r="K360" s="94" t="s">
        <v>79</v>
      </c>
      <c r="L360" s="94" t="s">
        <v>78</v>
      </c>
      <c r="M360" s="409" t="s">
        <v>2810</v>
      </c>
      <c r="N360" s="409" t="s">
        <v>2811</v>
      </c>
      <c r="O360" s="37">
        <v>44197</v>
      </c>
      <c r="P360" s="37">
        <v>44561</v>
      </c>
      <c r="Q360" s="409">
        <f t="shared" si="33"/>
        <v>0.49998000000000004</v>
      </c>
      <c r="R360" s="121">
        <v>1</v>
      </c>
      <c r="S360" s="412">
        <f t="shared" si="32"/>
        <v>0.99996000000000007</v>
      </c>
      <c r="T360" s="293">
        <v>8.3330000000000001E-2</v>
      </c>
      <c r="U360" s="293">
        <v>8.3330000000000001E-2</v>
      </c>
      <c r="V360" s="293">
        <v>8.3330000000000001E-2</v>
      </c>
      <c r="W360" s="293">
        <v>8.3330000000000001E-2</v>
      </c>
      <c r="X360" s="293">
        <v>8.3330000000000001E-2</v>
      </c>
      <c r="Y360" s="293">
        <v>8.3330000000000001E-2</v>
      </c>
      <c r="Z360" s="293">
        <v>8.3330000000000001E-2</v>
      </c>
      <c r="AA360" s="293">
        <v>8.3330000000000001E-2</v>
      </c>
      <c r="AB360" s="293">
        <v>8.3330000000000001E-2</v>
      </c>
      <c r="AC360" s="293">
        <v>8.3330000000000001E-2</v>
      </c>
      <c r="AD360" s="293">
        <v>8.3330000000000001E-2</v>
      </c>
      <c r="AE360" s="293">
        <v>8.3330000000000001E-2</v>
      </c>
      <c r="AF360" s="293">
        <v>8.3330000000000001E-2</v>
      </c>
      <c r="AG360" s="293">
        <v>8.3330000000000001E-2</v>
      </c>
      <c r="AH360" s="293">
        <v>8.3330000000000001E-2</v>
      </c>
      <c r="AI360" s="293">
        <v>8.3330000000000001E-2</v>
      </c>
      <c r="AJ360" s="293">
        <v>8.3330000000000001E-2</v>
      </c>
      <c r="AK360" s="103" t="s">
        <v>2812</v>
      </c>
      <c r="AL360" s="103">
        <v>8.3330000000000001E-2</v>
      </c>
      <c r="AM360" s="103"/>
      <c r="AN360" s="103"/>
      <c r="AO360" s="103">
        <v>8.3330000000000001E-2</v>
      </c>
      <c r="AP360" s="103"/>
      <c r="AQ360" s="103"/>
      <c r="AR360" s="103">
        <v>8.3330000000000001E-2</v>
      </c>
      <c r="AS360" s="103"/>
      <c r="AT360" s="103"/>
      <c r="AU360" s="103">
        <v>8.3330000000000001E-2</v>
      </c>
      <c r="AV360" s="103"/>
      <c r="AW360" s="103"/>
      <c r="AX360" s="103">
        <v>8.3330000000000001E-2</v>
      </c>
      <c r="AY360" s="103"/>
      <c r="AZ360" s="103"/>
      <c r="BA360" s="234">
        <v>8.3330000000000001E-2</v>
      </c>
      <c r="BB360" s="103"/>
      <c r="BC360" s="103"/>
      <c r="BD360" s="413">
        <f t="shared" si="30"/>
        <v>0.49998000000000004</v>
      </c>
      <c r="BE360" s="413">
        <f t="shared" si="31"/>
        <v>0.49998000000000004</v>
      </c>
      <c r="BF360" s="46">
        <f t="shared" si="36"/>
        <v>1</v>
      </c>
      <c r="BG360" s="5">
        <f>+AVERAGE(BF360:BF372)</f>
        <v>0.53522904957822282</v>
      </c>
    </row>
    <row r="361" spans="2:59" ht="90" hidden="1">
      <c r="B361" s="106" t="s">
        <v>411</v>
      </c>
      <c r="C361" s="36" t="s">
        <v>2813</v>
      </c>
      <c r="D361" s="679"/>
      <c r="E361" s="410" t="s">
        <v>408</v>
      </c>
      <c r="F361" s="410" t="s">
        <v>412</v>
      </c>
      <c r="G361" s="410" t="s">
        <v>412</v>
      </c>
      <c r="H361" s="410" t="s">
        <v>472</v>
      </c>
      <c r="I361" s="410">
        <v>1</v>
      </c>
      <c r="J361" s="410" t="s">
        <v>2809</v>
      </c>
      <c r="K361" s="57" t="s">
        <v>79</v>
      </c>
      <c r="L361" s="57" t="s">
        <v>78</v>
      </c>
      <c r="M361" s="410" t="s">
        <v>1580</v>
      </c>
      <c r="N361" s="410" t="s">
        <v>2811</v>
      </c>
      <c r="O361" s="38">
        <v>44197</v>
      </c>
      <c r="P361" s="38">
        <v>44561</v>
      </c>
      <c r="Q361" s="410">
        <f t="shared" si="33"/>
        <v>0.49998000000000004</v>
      </c>
      <c r="R361" s="119">
        <v>1</v>
      </c>
      <c r="S361" s="413">
        <f t="shared" si="32"/>
        <v>0.99996000000000007</v>
      </c>
      <c r="T361" s="293">
        <v>8.3330000000000001E-2</v>
      </c>
      <c r="U361" s="293">
        <v>8.3330000000000001E-2</v>
      </c>
      <c r="V361" s="293">
        <v>8.3330000000000001E-2</v>
      </c>
      <c r="W361" s="293">
        <v>8.3330000000000001E-2</v>
      </c>
      <c r="X361" s="293">
        <v>8.3330000000000001E-2</v>
      </c>
      <c r="Y361" s="293">
        <v>8.3330000000000001E-2</v>
      </c>
      <c r="Z361" s="293">
        <v>8.3330000000000001E-2</v>
      </c>
      <c r="AA361" s="293">
        <v>8.3330000000000001E-2</v>
      </c>
      <c r="AB361" s="293">
        <v>8.3330000000000001E-2</v>
      </c>
      <c r="AC361" s="293">
        <v>8.3330000000000001E-2</v>
      </c>
      <c r="AD361" s="293">
        <v>8.3330000000000001E-2</v>
      </c>
      <c r="AE361" s="293">
        <v>8.3330000000000001E-2</v>
      </c>
      <c r="AF361" s="293">
        <v>8.3330000000000001E-2</v>
      </c>
      <c r="AG361" s="293">
        <v>8.3330000000000001E-2</v>
      </c>
      <c r="AH361" s="293">
        <v>8.3330000000000001E-2</v>
      </c>
      <c r="AI361" s="293">
        <v>8.3330000000000001E-2</v>
      </c>
      <c r="AJ361" s="293">
        <v>8.3330000000000001E-2</v>
      </c>
      <c r="AK361" s="144" t="s">
        <v>2814</v>
      </c>
      <c r="AL361" s="144">
        <v>8.3330000000000001E-2</v>
      </c>
      <c r="AM361" s="144"/>
      <c r="AN361" s="144"/>
      <c r="AO361" s="144">
        <v>8.3330000000000001E-2</v>
      </c>
      <c r="AP361" s="144"/>
      <c r="AQ361" s="144"/>
      <c r="AR361" s="144">
        <v>8.3330000000000001E-2</v>
      </c>
      <c r="AS361" s="144"/>
      <c r="AT361" s="144"/>
      <c r="AU361" s="144">
        <v>8.3330000000000001E-2</v>
      </c>
      <c r="AV361" s="144"/>
      <c r="AW361" s="144"/>
      <c r="AX361" s="144">
        <v>8.3330000000000001E-2</v>
      </c>
      <c r="AY361" s="144"/>
      <c r="AZ361" s="144"/>
      <c r="BA361" s="233">
        <v>8.3330000000000001E-2</v>
      </c>
      <c r="BB361" s="144"/>
      <c r="BC361" s="144"/>
      <c r="BD361" s="413">
        <f t="shared" si="30"/>
        <v>0.49998000000000004</v>
      </c>
      <c r="BE361" s="413">
        <f t="shared" si="31"/>
        <v>0.49998000000000004</v>
      </c>
      <c r="BF361" s="48">
        <f t="shared" si="36"/>
        <v>1</v>
      </c>
      <c r="BG361"/>
    </row>
    <row r="362" spans="2:59" ht="105" hidden="1">
      <c r="B362" s="95" t="s">
        <v>415</v>
      </c>
      <c r="C362" s="21" t="s">
        <v>2815</v>
      </c>
      <c r="D362" s="679"/>
      <c r="E362" s="410" t="s">
        <v>408</v>
      </c>
      <c r="F362" s="410" t="s">
        <v>416</v>
      </c>
      <c r="G362" s="410" t="s">
        <v>416</v>
      </c>
      <c r="H362" s="410" t="s">
        <v>472</v>
      </c>
      <c r="I362" s="410">
        <v>1</v>
      </c>
      <c r="J362" s="410" t="s">
        <v>2809</v>
      </c>
      <c r="K362" s="57" t="s">
        <v>79</v>
      </c>
      <c r="L362" s="57" t="s">
        <v>78</v>
      </c>
      <c r="M362" s="410" t="s">
        <v>1580</v>
      </c>
      <c r="N362" s="410" t="s">
        <v>2811</v>
      </c>
      <c r="O362" s="38">
        <v>44197</v>
      </c>
      <c r="P362" s="38">
        <v>44561</v>
      </c>
      <c r="Q362" s="410">
        <f t="shared" si="33"/>
        <v>0.49998000000000004</v>
      </c>
      <c r="R362" s="119">
        <v>1</v>
      </c>
      <c r="S362" s="413">
        <f t="shared" si="32"/>
        <v>0.99978000000000022</v>
      </c>
      <c r="T362" s="293">
        <v>8.3330000000000001E-2</v>
      </c>
      <c r="U362" s="293">
        <v>8.3330000000000001E-2</v>
      </c>
      <c r="V362" s="293">
        <v>8.3330000000000001E-2</v>
      </c>
      <c r="W362" s="293">
        <v>8.3330000000000001E-2</v>
      </c>
      <c r="X362" s="293">
        <v>8.3330000000000001E-2</v>
      </c>
      <c r="Y362" s="293">
        <v>8.3330000000000001E-2</v>
      </c>
      <c r="Z362" s="293">
        <v>8.3330000000000001E-2</v>
      </c>
      <c r="AA362" s="293">
        <v>8.3330000000000001E-2</v>
      </c>
      <c r="AB362" s="293">
        <v>8.3330000000000001E-2</v>
      </c>
      <c r="AC362" s="293">
        <v>8.3330000000000001E-2</v>
      </c>
      <c r="AD362" s="293">
        <v>8.3330000000000001E-2</v>
      </c>
      <c r="AE362" s="293">
        <v>8.3330000000000001E-2</v>
      </c>
      <c r="AF362" s="293">
        <v>8.3330000000000001E-2</v>
      </c>
      <c r="AG362" s="293">
        <v>8.3330000000000001E-2</v>
      </c>
      <c r="AH362" s="293">
        <v>8.3330000000000001E-2</v>
      </c>
      <c r="AI362" s="293">
        <v>8.3330000000000001E-2</v>
      </c>
      <c r="AJ362" s="293">
        <v>8.3330000000000001E-2</v>
      </c>
      <c r="AK362" s="144" t="s">
        <v>2816</v>
      </c>
      <c r="AL362" s="144">
        <v>8.3299999999999999E-2</v>
      </c>
      <c r="AM362" s="144"/>
      <c r="AN362" s="144"/>
      <c r="AO362" s="144">
        <v>8.3299999999999999E-2</v>
      </c>
      <c r="AP362" s="144"/>
      <c r="AQ362" s="144"/>
      <c r="AR362" s="144">
        <v>8.3299999999999999E-2</v>
      </c>
      <c r="AS362" s="144"/>
      <c r="AT362" s="144"/>
      <c r="AU362" s="144">
        <v>8.3299999999999999E-2</v>
      </c>
      <c r="AV362" s="144"/>
      <c r="AW362" s="144"/>
      <c r="AX362" s="144">
        <v>8.3299999999999999E-2</v>
      </c>
      <c r="AY362" s="144"/>
      <c r="AZ362" s="144"/>
      <c r="BA362" s="233">
        <v>8.3299999999999999E-2</v>
      </c>
      <c r="BB362" s="144"/>
      <c r="BC362" s="144">
        <v>8.3299999999999999E-2</v>
      </c>
      <c r="BD362" s="413">
        <f t="shared" si="30"/>
        <v>0.49998000000000004</v>
      </c>
      <c r="BE362" s="413">
        <f t="shared" si="31"/>
        <v>0.49998000000000004</v>
      </c>
      <c r="BF362" s="48">
        <f t="shared" si="36"/>
        <v>1</v>
      </c>
      <c r="BG362"/>
    </row>
    <row r="363" spans="2:59" ht="105" hidden="1">
      <c r="B363" s="95" t="s">
        <v>418</v>
      </c>
      <c r="C363" s="21" t="s">
        <v>2817</v>
      </c>
      <c r="D363" s="679"/>
      <c r="E363" s="410" t="s">
        <v>419</v>
      </c>
      <c r="F363" s="410" t="s">
        <v>420</v>
      </c>
      <c r="G363" s="410" t="s">
        <v>420</v>
      </c>
      <c r="H363" s="410" t="s">
        <v>472</v>
      </c>
      <c r="I363" s="410">
        <v>1</v>
      </c>
      <c r="J363" s="410" t="s">
        <v>2809</v>
      </c>
      <c r="K363" s="57" t="s">
        <v>79</v>
      </c>
      <c r="L363" s="57" t="s">
        <v>78</v>
      </c>
      <c r="M363" s="410" t="s">
        <v>2805</v>
      </c>
      <c r="N363" s="410" t="s">
        <v>2811</v>
      </c>
      <c r="O363" s="38">
        <v>44197</v>
      </c>
      <c r="P363" s="38">
        <v>44561</v>
      </c>
      <c r="Q363" s="410">
        <f t="shared" si="33"/>
        <v>0.42903000000000002</v>
      </c>
      <c r="R363" s="49">
        <v>1</v>
      </c>
      <c r="S363" s="413">
        <f t="shared" si="32"/>
        <v>0.99984000000000006</v>
      </c>
      <c r="T363" s="399">
        <v>8.3299999999999999E-2</v>
      </c>
      <c r="U363" s="400">
        <v>5.6000000000000001E-2</v>
      </c>
      <c r="V363" s="144" t="s">
        <v>2818</v>
      </c>
      <c r="W363" s="399">
        <v>8.3299999999999999E-2</v>
      </c>
      <c r="X363" s="294">
        <v>7.2999999999999995E-2</v>
      </c>
      <c r="Y363" s="144" t="s">
        <v>2819</v>
      </c>
      <c r="Z363" s="399">
        <v>8.3299999999999999E-2</v>
      </c>
      <c r="AA363" s="294">
        <v>8.3330000000000001E-2</v>
      </c>
      <c r="AB363" s="144" t="s">
        <v>2820</v>
      </c>
      <c r="AC363" s="399">
        <v>8.3299999999999999E-2</v>
      </c>
      <c r="AD363" s="275">
        <v>6.7000000000000004E-2</v>
      </c>
      <c r="AE363" s="51" t="s">
        <v>421</v>
      </c>
      <c r="AF363" s="294">
        <v>8.3330000000000001E-2</v>
      </c>
      <c r="AG363" s="256">
        <v>8.3299999999999999E-2</v>
      </c>
      <c r="AH363" s="144" t="s">
        <v>2821</v>
      </c>
      <c r="AI363" s="294">
        <v>8.3330000000000001E-2</v>
      </c>
      <c r="AJ363" s="144" t="s">
        <v>2822</v>
      </c>
      <c r="AK363" s="144" t="s">
        <v>2823</v>
      </c>
      <c r="AL363" s="144">
        <v>8.3330000000000001E-2</v>
      </c>
      <c r="AM363" s="144"/>
      <c r="AN363" s="144"/>
      <c r="AO363" s="144">
        <v>8.3330000000000001E-2</v>
      </c>
      <c r="AP363" s="144"/>
      <c r="AQ363" s="144"/>
      <c r="AR363" s="144">
        <v>8.3330000000000001E-2</v>
      </c>
      <c r="AS363" s="144"/>
      <c r="AT363" s="144"/>
      <c r="AU363" s="144">
        <v>8.3330000000000001E-2</v>
      </c>
      <c r="AV363" s="144"/>
      <c r="AW363" s="144"/>
      <c r="AX363" s="144">
        <v>8.3330000000000001E-2</v>
      </c>
      <c r="AY363" s="144"/>
      <c r="AZ363" s="144"/>
      <c r="BA363" s="233">
        <v>8.3330000000000001E-2</v>
      </c>
      <c r="BB363" s="144"/>
      <c r="BC363" s="144"/>
      <c r="BD363" s="413">
        <f t="shared" si="30"/>
        <v>0.49986000000000003</v>
      </c>
      <c r="BE363" s="413">
        <f t="shared" si="31"/>
        <v>0.42903000000000002</v>
      </c>
      <c r="BF363" s="48">
        <f t="shared" si="36"/>
        <v>0.85830032409074541</v>
      </c>
      <c r="BG363"/>
    </row>
    <row r="364" spans="2:59" ht="72" hidden="1">
      <c r="B364" s="95" t="s">
        <v>422</v>
      </c>
      <c r="C364" s="21" t="s">
        <v>2824</v>
      </c>
      <c r="D364" s="679"/>
      <c r="E364" s="410" t="s">
        <v>423</v>
      </c>
      <c r="F364" s="410" t="s">
        <v>424</v>
      </c>
      <c r="G364" s="410" t="s">
        <v>424</v>
      </c>
      <c r="H364" s="410" t="s">
        <v>472</v>
      </c>
      <c r="I364" s="410">
        <v>1</v>
      </c>
      <c r="J364" s="410" t="s">
        <v>2809</v>
      </c>
      <c r="K364" s="57" t="s">
        <v>73</v>
      </c>
      <c r="L364" s="57" t="s">
        <v>72</v>
      </c>
      <c r="M364" s="410" t="s">
        <v>2825</v>
      </c>
      <c r="N364" s="410" t="s">
        <v>2811</v>
      </c>
      <c r="O364" s="38">
        <v>44197</v>
      </c>
      <c r="P364" s="38">
        <v>44561</v>
      </c>
      <c r="Q364" s="410">
        <f t="shared" si="33"/>
        <v>0</v>
      </c>
      <c r="R364" s="144">
        <v>1</v>
      </c>
      <c r="S364" s="413">
        <f t="shared" si="32"/>
        <v>1</v>
      </c>
      <c r="T364" s="57">
        <v>0</v>
      </c>
      <c r="U364" s="92">
        <v>0</v>
      </c>
      <c r="V364" s="144" t="s">
        <v>425</v>
      </c>
      <c r="W364" s="57">
        <v>0</v>
      </c>
      <c r="X364" s="144">
        <v>0</v>
      </c>
      <c r="Y364" s="144" t="s">
        <v>425</v>
      </c>
      <c r="Z364" s="57">
        <v>0</v>
      </c>
      <c r="AA364" s="144">
        <v>0</v>
      </c>
      <c r="AB364" s="144" t="s">
        <v>425</v>
      </c>
      <c r="AC364" s="144">
        <v>0</v>
      </c>
      <c r="AD364" s="344">
        <v>0</v>
      </c>
      <c r="AE364" s="51" t="s">
        <v>425</v>
      </c>
      <c r="AF364" s="144">
        <v>0</v>
      </c>
      <c r="AG364" s="256">
        <v>0</v>
      </c>
      <c r="AH364" s="144" t="s">
        <v>2826</v>
      </c>
      <c r="AI364" s="144">
        <v>1</v>
      </c>
      <c r="AJ364" s="144" t="s">
        <v>364</v>
      </c>
      <c r="AK364" s="144" t="s">
        <v>2826</v>
      </c>
      <c r="AL364" s="144">
        <v>0</v>
      </c>
      <c r="AM364" s="144"/>
      <c r="AN364" s="144"/>
      <c r="AO364" s="144">
        <v>0</v>
      </c>
      <c r="AP364" s="144"/>
      <c r="AQ364" s="144"/>
      <c r="AR364" s="144">
        <v>0</v>
      </c>
      <c r="AS364" s="144"/>
      <c r="AT364" s="144"/>
      <c r="AU364" s="144">
        <v>0</v>
      </c>
      <c r="AV364" s="144"/>
      <c r="AW364" s="144"/>
      <c r="AX364" s="144">
        <v>0</v>
      </c>
      <c r="AY364" s="144"/>
      <c r="AZ364" s="144"/>
      <c r="BA364" s="233">
        <v>0</v>
      </c>
      <c r="BB364" s="144"/>
      <c r="BC364" s="144" t="s">
        <v>426</v>
      </c>
      <c r="BD364" s="413">
        <f t="shared" si="30"/>
        <v>1</v>
      </c>
      <c r="BE364" s="413">
        <f t="shared" si="31"/>
        <v>0</v>
      </c>
      <c r="BF364" s="48">
        <f t="shared" si="36"/>
        <v>0</v>
      </c>
      <c r="BG364"/>
    </row>
    <row r="365" spans="2:59" ht="120" hidden="1">
      <c r="B365" s="95" t="s">
        <v>427</v>
      </c>
      <c r="C365" s="21" t="s">
        <v>2827</v>
      </c>
      <c r="D365" s="679"/>
      <c r="E365" s="410" t="s">
        <v>428</v>
      </c>
      <c r="F365" s="410" t="s">
        <v>429</v>
      </c>
      <c r="G365" s="410" t="s">
        <v>429</v>
      </c>
      <c r="H365" s="410" t="s">
        <v>472</v>
      </c>
      <c r="I365" s="410">
        <v>1</v>
      </c>
      <c r="J365" s="410" t="s">
        <v>2809</v>
      </c>
      <c r="K365" s="140" t="s">
        <v>79</v>
      </c>
      <c r="L365" s="140" t="s">
        <v>78</v>
      </c>
      <c r="M365" s="410" t="s">
        <v>2828</v>
      </c>
      <c r="N365" s="410" t="s">
        <v>2811</v>
      </c>
      <c r="O365" s="38">
        <v>44197</v>
      </c>
      <c r="P365" s="38">
        <v>44561</v>
      </c>
      <c r="Q365" s="410">
        <f t="shared" si="33"/>
        <v>0.44093000000000004</v>
      </c>
      <c r="R365" s="119">
        <v>1</v>
      </c>
      <c r="S365" s="413">
        <f t="shared" si="32"/>
        <v>0.99996000000000007</v>
      </c>
      <c r="T365" s="57">
        <v>8.3330000000000001E-2</v>
      </c>
      <c r="U365" s="277">
        <v>8.3299999999999999E-2</v>
      </c>
      <c r="V365" s="144" t="s">
        <v>2829</v>
      </c>
      <c r="W365" s="57">
        <v>8.3330000000000001E-2</v>
      </c>
      <c r="X365" s="144">
        <v>8.3299999999999999E-2</v>
      </c>
      <c r="Y365" s="144" t="s">
        <v>2830</v>
      </c>
      <c r="Z365" s="57">
        <v>8.3330000000000001E-2</v>
      </c>
      <c r="AA365" s="144">
        <v>8.3299999999999999E-2</v>
      </c>
      <c r="AB365" s="144" t="s">
        <v>2831</v>
      </c>
      <c r="AC365" s="144">
        <v>8.3330000000000001E-2</v>
      </c>
      <c r="AD365" s="276">
        <v>8.3330000000000001E-2</v>
      </c>
      <c r="AE365" s="51" t="s">
        <v>430</v>
      </c>
      <c r="AF365" s="144">
        <v>8.3330000000000001E-2</v>
      </c>
      <c r="AG365" s="260">
        <v>7.5999999999999998E-2</v>
      </c>
      <c r="AH365" s="144" t="s">
        <v>2832</v>
      </c>
      <c r="AI365" s="144">
        <v>8.3330000000000001E-2</v>
      </c>
      <c r="AJ365" s="19">
        <v>3.1699999999999999E-2</v>
      </c>
      <c r="AK365" s="144" t="s">
        <v>2833</v>
      </c>
      <c r="AL365" s="144">
        <v>8.3330000000000001E-2</v>
      </c>
      <c r="AM365" s="144"/>
      <c r="AN365" s="144"/>
      <c r="AO365" s="144">
        <v>8.3330000000000001E-2</v>
      </c>
      <c r="AP365" s="144"/>
      <c r="AQ365" s="144"/>
      <c r="AR365" s="144">
        <v>8.3330000000000001E-2</v>
      </c>
      <c r="AS365" s="144"/>
      <c r="AT365" s="144"/>
      <c r="AU365" s="144">
        <v>8.3330000000000001E-2</v>
      </c>
      <c r="AV365" s="144"/>
      <c r="AW365" s="144"/>
      <c r="AX365" s="144">
        <v>8.3330000000000001E-2</v>
      </c>
      <c r="AY365" s="144"/>
      <c r="AZ365" s="144"/>
      <c r="BA365" s="233">
        <v>8.3330000000000001E-2</v>
      </c>
      <c r="BB365" s="144"/>
      <c r="BC365" s="144"/>
      <c r="BD365" s="413">
        <f t="shared" si="30"/>
        <v>0.49998000000000004</v>
      </c>
      <c r="BE365" s="413">
        <f t="shared" si="31"/>
        <v>0.44093000000000004</v>
      </c>
      <c r="BF365" s="48">
        <f t="shared" si="36"/>
        <v>0.88189527581103244</v>
      </c>
      <c r="BG365"/>
    </row>
    <row r="366" spans="2:59" ht="96" hidden="1">
      <c r="B366" s="95" t="s">
        <v>431</v>
      </c>
      <c r="C366" s="21" t="s">
        <v>2834</v>
      </c>
      <c r="D366" s="679"/>
      <c r="E366" s="410" t="s">
        <v>432</v>
      </c>
      <c r="F366" s="410" t="s">
        <v>433</v>
      </c>
      <c r="G366" s="410" t="s">
        <v>433</v>
      </c>
      <c r="H366" s="410" t="s">
        <v>472</v>
      </c>
      <c r="I366" s="410">
        <v>1</v>
      </c>
      <c r="J366" s="410" t="s">
        <v>2809</v>
      </c>
      <c r="K366" s="57" t="s">
        <v>79</v>
      </c>
      <c r="L366" s="57" t="s">
        <v>78</v>
      </c>
      <c r="M366" s="410" t="s">
        <v>433</v>
      </c>
      <c r="N366" s="410" t="s">
        <v>2811</v>
      </c>
      <c r="O366" s="38">
        <v>44197</v>
      </c>
      <c r="P366" s="38">
        <v>44561</v>
      </c>
      <c r="Q366" s="410">
        <f t="shared" si="33"/>
        <v>0.49776000000000009</v>
      </c>
      <c r="R366" s="119">
        <v>1</v>
      </c>
      <c r="S366" s="413">
        <f t="shared" si="32"/>
        <v>0.99996000000000007</v>
      </c>
      <c r="T366" s="57">
        <v>8.3330000000000001E-2</v>
      </c>
      <c r="U366" s="92">
        <v>8.3330000000000001E-2</v>
      </c>
      <c r="V366" s="144" t="s">
        <v>2835</v>
      </c>
      <c r="W366" s="57">
        <v>8.3330000000000001E-2</v>
      </c>
      <c r="X366" s="294">
        <v>8.3299999999999999E-2</v>
      </c>
      <c r="Y366" s="144" t="s">
        <v>2836</v>
      </c>
      <c r="Z366" s="57">
        <v>8.3330000000000001E-2</v>
      </c>
      <c r="AA366" s="294">
        <v>8.3299999999999999E-2</v>
      </c>
      <c r="AB366" s="144" t="s">
        <v>2837</v>
      </c>
      <c r="AC366" s="144">
        <v>8.3330000000000001E-2</v>
      </c>
      <c r="AD366" s="276">
        <v>8.3330000000000001E-2</v>
      </c>
      <c r="AE366" s="51" t="s">
        <v>434</v>
      </c>
      <c r="AF366" s="144">
        <v>8.3330000000000001E-2</v>
      </c>
      <c r="AG366" s="256">
        <f>100%-92.1%</f>
        <v>7.900000000000007E-2</v>
      </c>
      <c r="AH366" s="144" t="s">
        <v>2838</v>
      </c>
      <c r="AI366" s="144">
        <v>8.3330000000000001E-2</v>
      </c>
      <c r="AJ366" s="144" t="s">
        <v>2839</v>
      </c>
      <c r="AK366" s="144" t="s">
        <v>2840</v>
      </c>
      <c r="AL366" s="144">
        <v>8.3330000000000001E-2</v>
      </c>
      <c r="AM366" s="144"/>
      <c r="AN366" s="144"/>
      <c r="AO366" s="144">
        <v>8.3330000000000001E-2</v>
      </c>
      <c r="AP366" s="144"/>
      <c r="AQ366" s="144"/>
      <c r="AR366" s="144">
        <v>8.3330000000000001E-2</v>
      </c>
      <c r="AS366" s="144"/>
      <c r="AT366" s="144"/>
      <c r="AU366" s="144">
        <v>8.3330000000000001E-2</v>
      </c>
      <c r="AV366" s="144"/>
      <c r="AW366" s="144"/>
      <c r="AX366" s="144">
        <v>8.3330000000000001E-2</v>
      </c>
      <c r="AY366" s="144"/>
      <c r="AZ366" s="144"/>
      <c r="BA366" s="233">
        <v>8.3330000000000001E-2</v>
      </c>
      <c r="BB366" s="144"/>
      <c r="BC366" s="144"/>
      <c r="BD366" s="413">
        <f t="shared" si="30"/>
        <v>0.49998000000000004</v>
      </c>
      <c r="BE366" s="413">
        <f t="shared" si="31"/>
        <v>0.49776000000000009</v>
      </c>
      <c r="BF366" s="48">
        <f t="shared" si="36"/>
        <v>0.99555982239289587</v>
      </c>
      <c r="BG366"/>
    </row>
    <row r="367" spans="2:59" ht="60" hidden="1">
      <c r="B367" s="95" t="s">
        <v>435</v>
      </c>
      <c r="C367" s="21" t="s">
        <v>2841</v>
      </c>
      <c r="D367" s="679"/>
      <c r="E367" s="410" t="s">
        <v>428</v>
      </c>
      <c r="F367" s="410" t="s">
        <v>436</v>
      </c>
      <c r="G367" s="410" t="s">
        <v>436</v>
      </c>
      <c r="H367" s="410" t="s">
        <v>472</v>
      </c>
      <c r="I367" s="410">
        <v>1</v>
      </c>
      <c r="J367" s="410" t="s">
        <v>2809</v>
      </c>
      <c r="K367" s="57" t="s">
        <v>73</v>
      </c>
      <c r="L367" s="57" t="s">
        <v>72</v>
      </c>
      <c r="M367" s="410" t="s">
        <v>2842</v>
      </c>
      <c r="N367" s="410" t="s">
        <v>2811</v>
      </c>
      <c r="O367" s="38">
        <v>44197</v>
      </c>
      <c r="P367" s="38">
        <v>44561</v>
      </c>
      <c r="Q367" s="410">
        <f t="shared" si="33"/>
        <v>0</v>
      </c>
      <c r="R367" s="144">
        <v>1</v>
      </c>
      <c r="S367" s="413">
        <f t="shared" si="32"/>
        <v>1</v>
      </c>
      <c r="T367" s="57">
        <v>0</v>
      </c>
      <c r="U367" s="92">
        <v>0</v>
      </c>
      <c r="V367" s="144" t="s">
        <v>425</v>
      </c>
      <c r="W367" s="57">
        <v>0</v>
      </c>
      <c r="X367" s="144">
        <v>0</v>
      </c>
      <c r="Y367" s="144" t="s">
        <v>425</v>
      </c>
      <c r="Z367" s="57">
        <v>0</v>
      </c>
      <c r="AA367" s="144">
        <v>0</v>
      </c>
      <c r="AB367" s="144" t="s">
        <v>425</v>
      </c>
      <c r="AC367" s="144">
        <v>0</v>
      </c>
      <c r="AD367" s="344">
        <v>0</v>
      </c>
      <c r="AE367" s="51" t="s">
        <v>425</v>
      </c>
      <c r="AF367" s="144">
        <v>0</v>
      </c>
      <c r="AG367" s="260">
        <v>0</v>
      </c>
      <c r="AH367" s="144" t="s">
        <v>2826</v>
      </c>
      <c r="AI367" s="144">
        <v>1</v>
      </c>
      <c r="AJ367" s="144">
        <v>0</v>
      </c>
      <c r="AK367" s="144" t="s">
        <v>2826</v>
      </c>
      <c r="AL367" s="144">
        <v>0</v>
      </c>
      <c r="AM367" s="144"/>
      <c r="AN367" s="144"/>
      <c r="AO367" s="144">
        <v>0</v>
      </c>
      <c r="AP367" s="144"/>
      <c r="AQ367" s="144"/>
      <c r="AR367" s="144">
        <v>0</v>
      </c>
      <c r="AS367" s="144"/>
      <c r="AT367" s="144"/>
      <c r="AU367" s="144">
        <v>0</v>
      </c>
      <c r="AV367" s="144"/>
      <c r="AW367" s="144"/>
      <c r="AX367" s="144">
        <v>0</v>
      </c>
      <c r="AY367" s="144"/>
      <c r="AZ367" s="144"/>
      <c r="BA367" s="233">
        <v>0</v>
      </c>
      <c r="BB367" s="144"/>
      <c r="BC367" s="144" t="s">
        <v>426</v>
      </c>
      <c r="BD367" s="413">
        <f t="shared" si="30"/>
        <v>1</v>
      </c>
      <c r="BE367" s="413">
        <f t="shared" si="31"/>
        <v>0</v>
      </c>
      <c r="BF367" s="48">
        <f t="shared" si="36"/>
        <v>0</v>
      </c>
    </row>
    <row r="368" spans="2:59" ht="36" hidden="1">
      <c r="B368" s="95" t="s">
        <v>437</v>
      </c>
      <c r="C368" s="21" t="s">
        <v>2843</v>
      </c>
      <c r="D368" s="679"/>
      <c r="E368" s="410" t="s">
        <v>438</v>
      </c>
      <c r="F368" s="410" t="s">
        <v>438</v>
      </c>
      <c r="G368" s="410" t="s">
        <v>438</v>
      </c>
      <c r="H368" s="410" t="s">
        <v>472</v>
      </c>
      <c r="I368" s="410">
        <v>1</v>
      </c>
      <c r="J368" s="410" t="s">
        <v>2809</v>
      </c>
      <c r="K368" s="57" t="s">
        <v>73</v>
      </c>
      <c r="L368" s="57" t="s">
        <v>72</v>
      </c>
      <c r="M368" s="410" t="s">
        <v>2844</v>
      </c>
      <c r="N368" s="410" t="s">
        <v>2811</v>
      </c>
      <c r="O368" s="38">
        <v>44197</v>
      </c>
      <c r="P368" s="38">
        <v>44561</v>
      </c>
      <c r="Q368" s="410">
        <f t="shared" si="33"/>
        <v>0</v>
      </c>
      <c r="R368" s="144">
        <v>11</v>
      </c>
      <c r="S368" s="413">
        <f t="shared" si="32"/>
        <v>6.454545454545455</v>
      </c>
      <c r="T368" s="57">
        <v>0</v>
      </c>
      <c r="U368" s="92">
        <v>0</v>
      </c>
      <c r="V368" s="144" t="s">
        <v>439</v>
      </c>
      <c r="W368" s="57">
        <v>0</v>
      </c>
      <c r="X368" s="144">
        <v>0</v>
      </c>
      <c r="Y368" s="144" t="s">
        <v>439</v>
      </c>
      <c r="Z368" s="57">
        <v>0</v>
      </c>
      <c r="AA368" s="144">
        <v>0</v>
      </c>
      <c r="AB368" s="144" t="s">
        <v>439</v>
      </c>
      <c r="AC368" s="144">
        <v>0</v>
      </c>
      <c r="AD368" s="344">
        <v>0</v>
      </c>
      <c r="AE368" s="51" t="s">
        <v>439</v>
      </c>
      <c r="AF368" s="144">
        <v>0</v>
      </c>
      <c r="AG368" s="260">
        <v>0</v>
      </c>
      <c r="AH368" s="144" t="s">
        <v>2826</v>
      </c>
      <c r="AI368" s="144">
        <f>5/R368</f>
        <v>0.45454545454545453</v>
      </c>
      <c r="AJ368" s="144">
        <v>0</v>
      </c>
      <c r="AK368" s="144" t="s">
        <v>2826</v>
      </c>
      <c r="AL368" s="144">
        <v>0</v>
      </c>
      <c r="AM368" s="144"/>
      <c r="AN368" s="144"/>
      <c r="AO368" s="144">
        <v>0</v>
      </c>
      <c r="AP368" s="144"/>
      <c r="AQ368" s="144"/>
      <c r="AR368" s="144">
        <v>1</v>
      </c>
      <c r="AS368" s="144"/>
      <c r="AT368" s="144"/>
      <c r="AU368" s="144">
        <v>0</v>
      </c>
      <c r="AV368" s="144"/>
      <c r="AW368" s="144"/>
      <c r="AX368" s="144">
        <v>5</v>
      </c>
      <c r="AY368" s="144"/>
      <c r="AZ368" s="144"/>
      <c r="BA368" s="233">
        <v>0</v>
      </c>
      <c r="BB368" s="144"/>
      <c r="BC368" s="144" t="s">
        <v>426</v>
      </c>
      <c r="BD368" s="413">
        <f t="shared" si="30"/>
        <v>0.45454545454545453</v>
      </c>
      <c r="BE368" s="413">
        <f t="shared" si="31"/>
        <v>0</v>
      </c>
      <c r="BF368" s="48">
        <f t="shared" si="36"/>
        <v>0</v>
      </c>
    </row>
    <row r="369" spans="2:58" s="11" customFormat="1" ht="45" hidden="1">
      <c r="B369" s="95" t="s">
        <v>440</v>
      </c>
      <c r="C369" s="21" t="s">
        <v>2845</v>
      </c>
      <c r="D369" s="679"/>
      <c r="E369" s="410" t="s">
        <v>438</v>
      </c>
      <c r="F369" s="410" t="s">
        <v>441</v>
      </c>
      <c r="G369" s="410" t="s">
        <v>441</v>
      </c>
      <c r="H369" s="410" t="s">
        <v>472</v>
      </c>
      <c r="I369" s="410">
        <v>1</v>
      </c>
      <c r="J369" s="410" t="s">
        <v>2809</v>
      </c>
      <c r="K369" s="57" t="s">
        <v>73</v>
      </c>
      <c r="L369" s="57" t="s">
        <v>72</v>
      </c>
      <c r="M369" s="410" t="s">
        <v>2844</v>
      </c>
      <c r="N369" s="410" t="s">
        <v>2811</v>
      </c>
      <c r="O369" s="38">
        <v>44197</v>
      </c>
      <c r="P369" s="38">
        <v>44561</v>
      </c>
      <c r="Q369" s="410">
        <f t="shared" si="33"/>
        <v>0.5</v>
      </c>
      <c r="R369" s="144">
        <v>4</v>
      </c>
      <c r="S369" s="413">
        <f t="shared" si="32"/>
        <v>2.5</v>
      </c>
      <c r="T369" s="57">
        <v>0</v>
      </c>
      <c r="U369" s="92">
        <v>0</v>
      </c>
      <c r="V369" s="144" t="s">
        <v>442</v>
      </c>
      <c r="W369" s="57">
        <v>0</v>
      </c>
      <c r="X369" s="144">
        <v>0</v>
      </c>
      <c r="Y369" s="144" t="s">
        <v>442</v>
      </c>
      <c r="Z369" s="57">
        <f>1/R369</f>
        <v>0.25</v>
      </c>
      <c r="AA369" s="144">
        <v>0</v>
      </c>
      <c r="AB369" s="144" t="s">
        <v>442</v>
      </c>
      <c r="AC369" s="144">
        <v>0</v>
      </c>
      <c r="AD369" s="344">
        <v>0</v>
      </c>
      <c r="AE369" s="51" t="s">
        <v>442</v>
      </c>
      <c r="AF369" s="144">
        <v>0</v>
      </c>
      <c r="AG369" s="260">
        <v>0</v>
      </c>
      <c r="AH369" s="144" t="s">
        <v>2846</v>
      </c>
      <c r="AI369" s="144">
        <f>1/R369</f>
        <v>0.25</v>
      </c>
      <c r="AJ369" s="144">
        <f>+(2/1)*AI369</f>
        <v>0.5</v>
      </c>
      <c r="AK369" s="144" t="s">
        <v>2846</v>
      </c>
      <c r="AL369" s="144">
        <v>0</v>
      </c>
      <c r="AM369" s="144"/>
      <c r="AN369" s="144"/>
      <c r="AO369" s="144">
        <v>0</v>
      </c>
      <c r="AP369" s="144"/>
      <c r="AQ369" s="144"/>
      <c r="AR369" s="144">
        <v>1</v>
      </c>
      <c r="AS369" s="144"/>
      <c r="AT369" s="144"/>
      <c r="AU369" s="144">
        <v>0</v>
      </c>
      <c r="AV369" s="144"/>
      <c r="AW369" s="144"/>
      <c r="AX369" s="144">
        <v>1</v>
      </c>
      <c r="AY369" s="144"/>
      <c r="AZ369" s="144"/>
      <c r="BA369" s="233">
        <v>0</v>
      </c>
      <c r="BB369" s="144"/>
      <c r="BC369" s="144"/>
      <c r="BD369" s="413">
        <f t="shared" si="30"/>
        <v>0.5</v>
      </c>
      <c r="BE369" s="413">
        <f t="shared" si="31"/>
        <v>0.5</v>
      </c>
      <c r="BF369" s="48">
        <f t="shared" si="36"/>
        <v>1</v>
      </c>
    </row>
    <row r="370" spans="2:58" s="11" customFormat="1" ht="84" hidden="1">
      <c r="B370" s="95" t="s">
        <v>443</v>
      </c>
      <c r="C370" s="21" t="s">
        <v>2847</v>
      </c>
      <c r="D370" s="679"/>
      <c r="E370" s="410" t="s">
        <v>444</v>
      </c>
      <c r="F370" s="410" t="s">
        <v>445</v>
      </c>
      <c r="G370" s="410" t="s">
        <v>445</v>
      </c>
      <c r="H370" s="410" t="s">
        <v>472</v>
      </c>
      <c r="I370" s="410">
        <v>1</v>
      </c>
      <c r="J370" s="410" t="s">
        <v>2809</v>
      </c>
      <c r="K370" s="57" t="s">
        <v>73</v>
      </c>
      <c r="L370" s="57" t="s">
        <v>72</v>
      </c>
      <c r="M370" s="410" t="s">
        <v>2848</v>
      </c>
      <c r="N370" s="410" t="s">
        <v>2811</v>
      </c>
      <c r="O370" s="38">
        <v>44197</v>
      </c>
      <c r="P370" s="38">
        <v>44561</v>
      </c>
      <c r="Q370" s="410">
        <f t="shared" si="33"/>
        <v>0.13333333333333333</v>
      </c>
      <c r="R370" s="144">
        <v>15</v>
      </c>
      <c r="S370" s="413">
        <f t="shared" si="32"/>
        <v>8.6</v>
      </c>
      <c r="T370" s="57">
        <v>0</v>
      </c>
      <c r="U370" s="92">
        <v>0</v>
      </c>
      <c r="V370" s="144" t="s">
        <v>2846</v>
      </c>
      <c r="W370" s="57">
        <v>0</v>
      </c>
      <c r="X370" s="144">
        <v>0</v>
      </c>
      <c r="Y370" s="144" t="s">
        <v>2846</v>
      </c>
      <c r="Z370" s="57">
        <f>2/R370</f>
        <v>0.13333333333333333</v>
      </c>
      <c r="AA370" s="144">
        <f>+(2/2)*Z370</f>
        <v>0.13333333333333333</v>
      </c>
      <c r="AB370" s="144" t="s">
        <v>2849</v>
      </c>
      <c r="AC370" s="144">
        <v>0</v>
      </c>
      <c r="AD370" s="344">
        <v>0</v>
      </c>
      <c r="AE370" s="51" t="s">
        <v>446</v>
      </c>
      <c r="AF370" s="144">
        <v>0</v>
      </c>
      <c r="AG370" s="260">
        <v>0</v>
      </c>
      <c r="AH370" s="144" t="s">
        <v>2826</v>
      </c>
      <c r="AI370" s="144">
        <f>7/R370</f>
        <v>0.46666666666666667</v>
      </c>
      <c r="AJ370" s="144">
        <v>0</v>
      </c>
      <c r="AK370" s="144" t="s">
        <v>2826</v>
      </c>
      <c r="AL370" s="144">
        <v>0</v>
      </c>
      <c r="AM370" s="144"/>
      <c r="AN370" s="144"/>
      <c r="AO370" s="144">
        <v>0</v>
      </c>
      <c r="AP370" s="144"/>
      <c r="AQ370" s="144"/>
      <c r="AR370" s="144">
        <v>0</v>
      </c>
      <c r="AS370" s="144"/>
      <c r="AT370" s="144"/>
      <c r="AU370" s="144">
        <v>0</v>
      </c>
      <c r="AV370" s="144"/>
      <c r="AW370" s="144"/>
      <c r="AX370" s="144">
        <v>8</v>
      </c>
      <c r="AY370" s="144"/>
      <c r="AZ370" s="144"/>
      <c r="BA370" s="233">
        <v>0</v>
      </c>
      <c r="BB370" s="144"/>
      <c r="BC370" s="144" t="s">
        <v>426</v>
      </c>
      <c r="BD370" s="413">
        <f t="shared" si="30"/>
        <v>0.6</v>
      </c>
      <c r="BE370" s="413">
        <f t="shared" si="31"/>
        <v>0.13333333333333333</v>
      </c>
      <c r="BF370" s="48">
        <f t="shared" si="36"/>
        <v>0.22222222222222224</v>
      </c>
    </row>
    <row r="371" spans="2:58" s="11" customFormat="1" ht="48" hidden="1">
      <c r="B371" s="95" t="s">
        <v>447</v>
      </c>
      <c r="C371" s="21" t="s">
        <v>2850</v>
      </c>
      <c r="D371" s="679"/>
      <c r="E371" s="410" t="s">
        <v>448</v>
      </c>
      <c r="F371" s="410" t="s">
        <v>448</v>
      </c>
      <c r="G371" s="410" t="s">
        <v>448</v>
      </c>
      <c r="H371" s="410" t="s">
        <v>472</v>
      </c>
      <c r="I371" s="410">
        <v>1</v>
      </c>
      <c r="J371" s="410" t="s">
        <v>2809</v>
      </c>
      <c r="K371" s="57" t="s">
        <v>79</v>
      </c>
      <c r="L371" s="57" t="s">
        <v>78</v>
      </c>
      <c r="M371" s="410" t="s">
        <v>2851</v>
      </c>
      <c r="N371" s="410" t="s">
        <v>2811</v>
      </c>
      <c r="O371" s="38">
        <v>44197</v>
      </c>
      <c r="P371" s="38">
        <v>44561</v>
      </c>
      <c r="Q371" s="410">
        <f t="shared" si="33"/>
        <v>0</v>
      </c>
      <c r="R371" s="119">
        <v>1</v>
      </c>
      <c r="S371" s="413">
        <f t="shared" si="32"/>
        <v>1</v>
      </c>
      <c r="T371" s="57">
        <v>0</v>
      </c>
      <c r="U371" s="274">
        <v>0</v>
      </c>
      <c r="V371" s="144" t="s">
        <v>2852</v>
      </c>
      <c r="W371" s="57">
        <v>0</v>
      </c>
      <c r="X371" s="294">
        <v>0</v>
      </c>
      <c r="Y371" s="144" t="s">
        <v>2852</v>
      </c>
      <c r="Z371" s="57">
        <v>1</v>
      </c>
      <c r="AA371" s="294">
        <v>0</v>
      </c>
      <c r="AB371" s="144" t="s">
        <v>449</v>
      </c>
      <c r="AC371" s="144">
        <v>0</v>
      </c>
      <c r="AD371" s="368">
        <v>0</v>
      </c>
      <c r="AE371" s="51" t="s">
        <v>449</v>
      </c>
      <c r="AF371" s="144">
        <v>0</v>
      </c>
      <c r="AG371" s="314">
        <v>0</v>
      </c>
      <c r="AH371" s="144" t="s">
        <v>2853</v>
      </c>
      <c r="AI371" s="144">
        <v>0</v>
      </c>
      <c r="AJ371" s="144">
        <v>0</v>
      </c>
      <c r="AK371" s="144" t="s">
        <v>2853</v>
      </c>
      <c r="AL371" s="144">
        <v>0</v>
      </c>
      <c r="AM371" s="144"/>
      <c r="AN371" s="144"/>
      <c r="AO371" s="144">
        <v>0</v>
      </c>
      <c r="AP371" s="144"/>
      <c r="AQ371" s="144"/>
      <c r="AR371" s="144">
        <v>0</v>
      </c>
      <c r="AS371" s="144"/>
      <c r="AT371" s="144"/>
      <c r="AU371" s="144">
        <v>0</v>
      </c>
      <c r="AV371" s="144"/>
      <c r="AW371" s="144"/>
      <c r="AX371" s="144">
        <v>0</v>
      </c>
      <c r="AY371" s="144"/>
      <c r="AZ371" s="144"/>
      <c r="BA371" s="233">
        <v>0</v>
      </c>
      <c r="BB371" s="144"/>
      <c r="BC371" s="144"/>
      <c r="BD371" s="413">
        <f t="shared" si="30"/>
        <v>1</v>
      </c>
      <c r="BE371" s="413">
        <f t="shared" si="31"/>
        <v>0</v>
      </c>
      <c r="BF371" s="48">
        <f t="shared" si="36"/>
        <v>0</v>
      </c>
    </row>
    <row r="372" spans="2:58" s="11" customFormat="1" ht="84.75" hidden="1" thickBot="1">
      <c r="B372" s="96" t="s">
        <v>450</v>
      </c>
      <c r="C372" s="126" t="s">
        <v>2854</v>
      </c>
      <c r="D372" s="680"/>
      <c r="E372" s="168" t="s">
        <v>451</v>
      </c>
      <c r="F372" s="168" t="s">
        <v>452</v>
      </c>
      <c r="G372" s="168" t="s">
        <v>452</v>
      </c>
      <c r="H372" s="168" t="s">
        <v>472</v>
      </c>
      <c r="I372" s="168">
        <v>1</v>
      </c>
      <c r="J372" s="168" t="s">
        <v>2809</v>
      </c>
      <c r="K372" s="97" t="s">
        <v>73</v>
      </c>
      <c r="L372" s="97" t="s">
        <v>72</v>
      </c>
      <c r="M372" s="168" t="s">
        <v>2855</v>
      </c>
      <c r="N372" s="168" t="s">
        <v>2811</v>
      </c>
      <c r="O372" s="39">
        <v>44197</v>
      </c>
      <c r="P372" s="39">
        <v>44561</v>
      </c>
      <c r="Q372" s="168">
        <f t="shared" si="33"/>
        <v>0</v>
      </c>
      <c r="R372" s="145">
        <v>1</v>
      </c>
      <c r="S372" s="104">
        <f t="shared" si="32"/>
        <v>1</v>
      </c>
      <c r="T372" s="97">
        <v>0</v>
      </c>
      <c r="U372" s="98">
        <v>0</v>
      </c>
      <c r="V372" s="145" t="s">
        <v>425</v>
      </c>
      <c r="W372" s="97">
        <v>0</v>
      </c>
      <c r="X372" s="145">
        <v>0</v>
      </c>
      <c r="Y372" s="145" t="s">
        <v>425</v>
      </c>
      <c r="Z372" s="97">
        <v>0</v>
      </c>
      <c r="AA372" s="145">
        <v>0</v>
      </c>
      <c r="AB372" s="145" t="s">
        <v>425</v>
      </c>
      <c r="AC372" s="145">
        <v>0</v>
      </c>
      <c r="AD372" s="369">
        <v>0</v>
      </c>
      <c r="AE372" s="370" t="s">
        <v>425</v>
      </c>
      <c r="AF372" s="145">
        <v>0</v>
      </c>
      <c r="AG372" s="272">
        <v>0</v>
      </c>
      <c r="AH372" s="145" t="s">
        <v>2853</v>
      </c>
      <c r="AI372" s="145">
        <v>1</v>
      </c>
      <c r="AJ372" s="145">
        <v>0</v>
      </c>
      <c r="AK372" s="145" t="s">
        <v>2853</v>
      </c>
      <c r="AL372" s="145">
        <v>0</v>
      </c>
      <c r="AM372" s="145"/>
      <c r="AN372" s="145"/>
      <c r="AO372" s="145">
        <v>0</v>
      </c>
      <c r="AP372" s="145"/>
      <c r="AQ372" s="145"/>
      <c r="AR372" s="145">
        <v>0</v>
      </c>
      <c r="AS372" s="145"/>
      <c r="AT372" s="145"/>
      <c r="AU372" s="145">
        <v>0</v>
      </c>
      <c r="AV372" s="145"/>
      <c r="AW372" s="145"/>
      <c r="AX372" s="145">
        <v>0</v>
      </c>
      <c r="AY372" s="145"/>
      <c r="AZ372" s="145"/>
      <c r="BA372" s="235">
        <v>0</v>
      </c>
      <c r="BB372" s="145"/>
      <c r="BC372" s="145" t="s">
        <v>426</v>
      </c>
      <c r="BD372" s="413">
        <f t="shared" si="30"/>
        <v>1</v>
      </c>
      <c r="BE372" s="413">
        <f t="shared" si="31"/>
        <v>0</v>
      </c>
      <c r="BF372" s="50">
        <f t="shared" si="36"/>
        <v>0</v>
      </c>
    </row>
  </sheetData>
  <autoFilter ref="A5:BO372">
    <filterColumn colId="55">
      <filters>
        <filter val="0,015"/>
        <filter val="0,0833"/>
        <filter val="0,083333333"/>
        <filter val="0,1"/>
        <filter val="0,125"/>
        <filter val="0,15"/>
        <filter val="0,166666667"/>
        <filter val="0,2"/>
        <filter val="0,21"/>
        <filter val="0,24"/>
        <filter val="0,25"/>
        <filter val="0,285714286"/>
        <filter val="0,3"/>
        <filter val="0,32"/>
        <filter val="0,333333333"/>
        <filter val="0,352941176"/>
        <filter val="0,354395149"/>
        <filter val="0,359640171"/>
        <filter val="0,375"/>
        <filter val="0,4"/>
        <filter val="0,4028"/>
        <filter val="0,416666667"/>
        <filter val="0,428571429"/>
        <filter val="0,45"/>
        <filter val="0,454545455"/>
        <filter val="0,466666667"/>
        <filter val="0,475375"/>
        <filter val="0,48"/>
        <filter val="0,4998"/>
        <filter val="0,49986"/>
        <filter val="0,49998"/>
        <filter val="0,5"/>
        <filter val="0,541617229"/>
        <filter val="0,545454545"/>
        <filter val="0,6"/>
        <filter val="0,65"/>
        <filter val="0,666666667"/>
        <filter val="0,7"/>
        <filter val="0,75"/>
        <filter val="0,832"/>
        <filter val="0,85"/>
        <filter val="0,9"/>
        <filter val="0,916666667"/>
        <filter val="1"/>
        <filter val="100%"/>
        <filter val="2"/>
        <filter val="2,166666667"/>
        <filter val="2,25"/>
      </filters>
    </filterColumn>
    <filterColumn colId="56">
      <filters>
        <filter val="1,083333333"/>
        <filter val="1,12"/>
        <filter val="1,143351778"/>
        <filter val="1,233822604"/>
        <filter val="1,6"/>
        <filter val="1,916666667"/>
        <filter val="2"/>
        <filter val="2,25"/>
        <filter val="2,333333333"/>
        <filter val="2,5"/>
        <filter val="3,1"/>
        <filter val="3,166666667"/>
        <filter val="5"/>
        <filter val="5,761904762"/>
      </filters>
    </filterColumn>
  </autoFilter>
  <mergeCells count="197">
    <mergeCell ref="D351:D356"/>
    <mergeCell ref="E351:E356"/>
    <mergeCell ref="F351:F356"/>
    <mergeCell ref="D357:D359"/>
    <mergeCell ref="D360:D372"/>
    <mergeCell ref="D341:D348"/>
    <mergeCell ref="E341:E342"/>
    <mergeCell ref="F341:F342"/>
    <mergeCell ref="E346:E347"/>
    <mergeCell ref="F346:F347"/>
    <mergeCell ref="D349:D350"/>
    <mergeCell ref="E327:E328"/>
    <mergeCell ref="F327:F328"/>
    <mergeCell ref="D329:D332"/>
    <mergeCell ref="E329:E332"/>
    <mergeCell ref="F329:F332"/>
    <mergeCell ref="D333:D340"/>
    <mergeCell ref="E333:E340"/>
    <mergeCell ref="F333:F340"/>
    <mergeCell ref="D316:D317"/>
    <mergeCell ref="E316:E317"/>
    <mergeCell ref="F316:F317"/>
    <mergeCell ref="D318:D328"/>
    <mergeCell ref="E318:E320"/>
    <mergeCell ref="F318:F320"/>
    <mergeCell ref="E321:E323"/>
    <mergeCell ref="F321:F323"/>
    <mergeCell ref="E324:E326"/>
    <mergeCell ref="F324:F326"/>
    <mergeCell ref="E304:E307"/>
    <mergeCell ref="F304:F307"/>
    <mergeCell ref="E309:E311"/>
    <mergeCell ref="F309:F311"/>
    <mergeCell ref="E313:E315"/>
    <mergeCell ref="F313:F315"/>
    <mergeCell ref="D290:D296"/>
    <mergeCell ref="E290:E296"/>
    <mergeCell ref="F290:F296"/>
    <mergeCell ref="D297:D315"/>
    <mergeCell ref="E297:E298"/>
    <mergeCell ref="F297:F298"/>
    <mergeCell ref="E299:E300"/>
    <mergeCell ref="F299:F300"/>
    <mergeCell ref="E301:E302"/>
    <mergeCell ref="F301:F302"/>
    <mergeCell ref="D259:D289"/>
    <mergeCell ref="E259:E260"/>
    <mergeCell ref="F259:F260"/>
    <mergeCell ref="E261:E266"/>
    <mergeCell ref="F261:F266"/>
    <mergeCell ref="E267:E269"/>
    <mergeCell ref="E280:E283"/>
    <mergeCell ref="F280:F283"/>
    <mergeCell ref="E285:E287"/>
    <mergeCell ref="F285:F287"/>
    <mergeCell ref="E288:E289"/>
    <mergeCell ref="F288:F289"/>
    <mergeCell ref="F267:F269"/>
    <mergeCell ref="E270:E273"/>
    <mergeCell ref="F270:F273"/>
    <mergeCell ref="E274:E276"/>
    <mergeCell ref="F274:F276"/>
    <mergeCell ref="E277:E279"/>
    <mergeCell ref="F277:F279"/>
    <mergeCell ref="F236:F238"/>
    <mergeCell ref="F239:F240"/>
    <mergeCell ref="E241:E243"/>
    <mergeCell ref="F241:F243"/>
    <mergeCell ref="E244:E248"/>
    <mergeCell ref="F244:F245"/>
    <mergeCell ref="F247:F248"/>
    <mergeCell ref="D211:D212"/>
    <mergeCell ref="D213:D221"/>
    <mergeCell ref="E213:E221"/>
    <mergeCell ref="F213:F221"/>
    <mergeCell ref="D222:D258"/>
    <mergeCell ref="E222:E232"/>
    <mergeCell ref="F222:F232"/>
    <mergeCell ref="E233:E235"/>
    <mergeCell ref="F233:F235"/>
    <mergeCell ref="E236:E240"/>
    <mergeCell ref="E254:E255"/>
    <mergeCell ref="F254:F255"/>
    <mergeCell ref="E256:E257"/>
    <mergeCell ref="F256:F257"/>
    <mergeCell ref="F199:F200"/>
    <mergeCell ref="D202:D203"/>
    <mergeCell ref="E202:E203"/>
    <mergeCell ref="F202:F203"/>
    <mergeCell ref="D204:D210"/>
    <mergeCell ref="E204:E205"/>
    <mergeCell ref="F204:F205"/>
    <mergeCell ref="E206:E210"/>
    <mergeCell ref="F206:F210"/>
    <mergeCell ref="D184:D201"/>
    <mergeCell ref="E184:E186"/>
    <mergeCell ref="F184:F186"/>
    <mergeCell ref="E187:E190"/>
    <mergeCell ref="F187:F190"/>
    <mergeCell ref="E192:E193"/>
    <mergeCell ref="F192:F193"/>
    <mergeCell ref="E197:E198"/>
    <mergeCell ref="F197:F198"/>
    <mergeCell ref="E199:E200"/>
    <mergeCell ref="D138:D183"/>
    <mergeCell ref="E138:E146"/>
    <mergeCell ref="F138:F146"/>
    <mergeCell ref="E147:E153"/>
    <mergeCell ref="F147:F153"/>
    <mergeCell ref="E154:E159"/>
    <mergeCell ref="F113:F114"/>
    <mergeCell ref="F119:F120"/>
    <mergeCell ref="E121:E122"/>
    <mergeCell ref="F121:F122"/>
    <mergeCell ref="E123:E127"/>
    <mergeCell ref="F123:F124"/>
    <mergeCell ref="F125:F126"/>
    <mergeCell ref="F154:F159"/>
    <mergeCell ref="E160:E170"/>
    <mergeCell ref="F160:F170"/>
    <mergeCell ref="E171:E177"/>
    <mergeCell ref="F171:F177"/>
    <mergeCell ref="E178:E180"/>
    <mergeCell ref="F178:F180"/>
    <mergeCell ref="E128:E132"/>
    <mergeCell ref="F128:F132"/>
    <mergeCell ref="E133:E135"/>
    <mergeCell ref="F134:F135"/>
    <mergeCell ref="E44:E55"/>
    <mergeCell ref="F44:F55"/>
    <mergeCell ref="E56:E57"/>
    <mergeCell ref="F56:F57"/>
    <mergeCell ref="E58:E62"/>
    <mergeCell ref="E96:E101"/>
    <mergeCell ref="F96:F101"/>
    <mergeCell ref="D102:D137"/>
    <mergeCell ref="E102:E105"/>
    <mergeCell ref="F102:F103"/>
    <mergeCell ref="F104:F105"/>
    <mergeCell ref="E106:E110"/>
    <mergeCell ref="F106:F110"/>
    <mergeCell ref="E111:E120"/>
    <mergeCell ref="F111:F112"/>
    <mergeCell ref="D44:D101"/>
    <mergeCell ref="F58:F62"/>
    <mergeCell ref="E63:E75"/>
    <mergeCell ref="F63:F75"/>
    <mergeCell ref="E76:E82"/>
    <mergeCell ref="F76:F82"/>
    <mergeCell ref="E83:E95"/>
    <mergeCell ref="F83:F95"/>
    <mergeCell ref="D16:D43"/>
    <mergeCell ref="E16:E20"/>
    <mergeCell ref="F18:F20"/>
    <mergeCell ref="E21:E23"/>
    <mergeCell ref="F21:F23"/>
    <mergeCell ref="E24:E29"/>
    <mergeCell ref="F24:F29"/>
    <mergeCell ref="E30:E34"/>
    <mergeCell ref="F30:F34"/>
    <mergeCell ref="E35:E38"/>
    <mergeCell ref="F35:F38"/>
    <mergeCell ref="E42:E43"/>
    <mergeCell ref="F42:F43"/>
    <mergeCell ref="AU4:AW4"/>
    <mergeCell ref="AX4:AZ4"/>
    <mergeCell ref="BA4:BC4"/>
    <mergeCell ref="D6:D15"/>
    <mergeCell ref="E6:E9"/>
    <mergeCell ref="F6:F9"/>
    <mergeCell ref="E10:E12"/>
    <mergeCell ref="F10:F12"/>
    <mergeCell ref="E13:E15"/>
    <mergeCell ref="R3:R5"/>
    <mergeCell ref="T3:BC3"/>
    <mergeCell ref="T4:V4"/>
    <mergeCell ref="W4:Y4"/>
    <mergeCell ref="Z4:AB4"/>
    <mergeCell ref="AC4:AE4"/>
    <mergeCell ref="AF4:AH4"/>
    <mergeCell ref="AI4:AK4"/>
    <mergeCell ref="AL4:AN4"/>
    <mergeCell ref="AO4:AQ4"/>
    <mergeCell ref="J3:J5"/>
    <mergeCell ref="K3:K5"/>
    <mergeCell ref="L3:L5"/>
    <mergeCell ref="M3:N3"/>
    <mergeCell ref="F13:F15"/>
    <mergeCell ref="O3:P3"/>
    <mergeCell ref="Q3:Q5"/>
    <mergeCell ref="B2:B5"/>
    <mergeCell ref="C2:C5"/>
    <mergeCell ref="D2:F4"/>
    <mergeCell ref="G3:G5"/>
    <mergeCell ref="H3:H5"/>
    <mergeCell ref="I3:I5"/>
    <mergeCell ref="AR4:AT4"/>
  </mergeCells>
  <conditionalFormatting sqref="W204:W210 Q290:T296 W290:W296 Z290:Z296 Q350:T356 W350:W351 W318:W328 Q341:Z345 W211:X212 W213:W220 V221:W221 Q202:W203 Q331:W331 Q6:T15 W6:W15 W123 Q123:T123 Q121:S122 Q125:T125 Q124:S124 W125 Q126:S126 Q102:T119 S120:T120 W222:W273 W329:X329 Q318:T330 W330 Q332:T340 W332:W340 Z350:Z351 Z332:Z340 Z331:AC331 Z318:Z330 Q274:Z289 R349:T349 Q204:U212 Q297:Z311 Q357:R359 Q360:Q372 S357:S372 Q16:S101 Q127:T201 Q213:T273 AC136:AI137 AC138:AC183 AC258:AJ258 AC202:AC257 AC259:AC300 Q315:Z317 Q312:T314 Y207:Y209 W353:Z355 V187 V192 V189:V190 V197 V199 Y187 Y189:Y190 W96:W120 T83:W95 T44:Y82 AC332:AC345 AF312:AF345 AJ312:BA315 AI138:BA257 AI259:BA300 Z6:Z183 AC6:AC135 AF259:AF300 W312:Z314 AC312:AC330 AF6:AF135 Z202:Z273 W356:Y356 AF138:AF257 Q348:Z348 Q346:Y347 V201:W201 W127:W200 Z184:AC201 Y352:Z352 AC348:AC356 AF348:AF356 AC301:BA311 AI6:BA135 AI316:BA356 AL136:BA137 AL258:BA258">
    <cfRule type="expression" dxfId="280" priority="148">
      <formula>$K6="%"</formula>
    </cfRule>
  </conditionalFormatting>
  <conditionalFormatting sqref="V204:V209">
    <cfRule type="expression" dxfId="279" priority="147">
      <formula>$K204="%"</formula>
    </cfRule>
  </conditionalFormatting>
  <conditionalFormatting sqref="V210">
    <cfRule type="expression" dxfId="278" priority="146">
      <formula>$K210="%"</formula>
    </cfRule>
  </conditionalFormatting>
  <conditionalFormatting sqref="X204:X209">
    <cfRule type="expression" dxfId="277" priority="145">
      <formula>$K204="%"</formula>
    </cfRule>
  </conditionalFormatting>
  <conditionalFormatting sqref="Y204:Y205">
    <cfRule type="expression" dxfId="276" priority="144">
      <formula>$K204="%"</formula>
    </cfRule>
  </conditionalFormatting>
  <conditionalFormatting sqref="V211:V212">
    <cfRule type="expression" dxfId="275" priority="143">
      <formula>$K211="%"</formula>
    </cfRule>
  </conditionalFormatting>
  <conditionalFormatting sqref="Y211:Y212">
    <cfRule type="expression" dxfId="274" priority="142">
      <formula>$K211="%"</formula>
    </cfRule>
  </conditionalFormatting>
  <conditionalFormatting sqref="V290:V296">
    <cfRule type="expression" dxfId="273" priority="141">
      <formula>$K290="%"</formula>
    </cfRule>
  </conditionalFormatting>
  <conditionalFormatting sqref="U290:U296">
    <cfRule type="expression" dxfId="272" priority="140">
      <formula>$K290="%"</formula>
    </cfRule>
  </conditionalFormatting>
  <conditionalFormatting sqref="Y290:Y296">
    <cfRule type="expression" dxfId="271" priority="139">
      <formula>$K290="%"</formula>
    </cfRule>
  </conditionalFormatting>
  <conditionalFormatting sqref="X290:X296">
    <cfRule type="expression" dxfId="270" priority="138">
      <formula>$K290="%"</formula>
    </cfRule>
  </conditionalFormatting>
  <conditionalFormatting sqref="U351 U353:U356">
    <cfRule type="expression" dxfId="269" priority="137">
      <formula>$K351="%"</formula>
    </cfRule>
  </conditionalFormatting>
  <conditionalFormatting sqref="V351:V356">
    <cfRule type="expression" dxfId="268" priority="136">
      <formula>$K351="%"</formula>
    </cfRule>
  </conditionalFormatting>
  <conditionalFormatting sqref="Y351">
    <cfRule type="expression" dxfId="267" priority="135">
      <formula>$K351="%"</formula>
    </cfRule>
  </conditionalFormatting>
  <conditionalFormatting sqref="X351">
    <cfRule type="expression" dxfId="266" priority="134">
      <formula>$K351="%"</formula>
    </cfRule>
  </conditionalFormatting>
  <conditionalFormatting sqref="V349:V350 U258:V258 U233:V233 X222:X226 X227:Y227 X256:Y258 X254 X233:Y253 W357:W359 U235:V235 V234 U239:V239 V236:V238 U242:V242 V240:V241 U245:V245 V243:V244 U247:V252 V246 V253 V256:V257 Z357:Z359 AC357:AC359 AF357:AF359 AI357:BA359">
    <cfRule type="expression" dxfId="265" priority="133">
      <formula>$M222="%"</formula>
    </cfRule>
  </conditionalFormatting>
  <conditionalFormatting sqref="Y350">
    <cfRule type="expression" dxfId="264" priority="132">
      <formula>$M350="%"</formula>
    </cfRule>
  </conditionalFormatting>
  <conditionalFormatting sqref="U350">
    <cfRule type="expression" dxfId="263" priority="131">
      <formula>$M350="%"</formula>
    </cfRule>
  </conditionalFormatting>
  <conditionalFormatting sqref="X350">
    <cfRule type="expression" dxfId="262" priority="130">
      <formula>$M350="%"</formula>
    </cfRule>
  </conditionalFormatting>
  <conditionalFormatting sqref="U318:U328">
    <cfRule type="expression" dxfId="261" priority="129">
      <formula>$K318="%"</formula>
    </cfRule>
  </conditionalFormatting>
  <conditionalFormatting sqref="U213:U221">
    <cfRule type="expression" dxfId="260" priority="122">
      <formula>$K213="%"</formula>
    </cfRule>
  </conditionalFormatting>
  <conditionalFormatting sqref="X318:X328">
    <cfRule type="expression" dxfId="259" priority="128">
      <formula>$K318="%"</formula>
    </cfRule>
  </conditionalFormatting>
  <conditionalFormatting sqref="U333:V340">
    <cfRule type="expression" dxfId="258" priority="127">
      <formula>$K333="%"</formula>
    </cfRule>
  </conditionalFormatting>
  <conditionalFormatting sqref="X333:Y340">
    <cfRule type="expression" dxfId="257" priority="126">
      <formula>$K333="%"</formula>
    </cfRule>
  </conditionalFormatting>
  <conditionalFormatting sqref="V213:V220">
    <cfRule type="expression" dxfId="256" priority="125">
      <formula>$K213="%"</formula>
    </cfRule>
  </conditionalFormatting>
  <conditionalFormatting sqref="Y213:Y221">
    <cfRule type="expression" dxfId="255" priority="124">
      <formula>$K213="%"</formula>
    </cfRule>
  </conditionalFormatting>
  <conditionalFormatting sqref="X213:X221">
    <cfRule type="expression" dxfId="254" priority="123">
      <formula>$K213="%"</formula>
    </cfRule>
  </conditionalFormatting>
  <conditionalFormatting sqref="V184">
    <cfRule type="expression" dxfId="253" priority="121">
      <formula>$K184="%"</formula>
    </cfRule>
  </conditionalFormatting>
  <conditionalFormatting sqref="V191">
    <cfRule type="expression" dxfId="252" priority="120">
      <formula>$M191="%"</formula>
    </cfRule>
  </conditionalFormatting>
  <conditionalFormatting sqref="V194">
    <cfRule type="expression" dxfId="251" priority="119">
      <formula>$M194="%"</formula>
    </cfRule>
  </conditionalFormatting>
  <conditionalFormatting sqref="V195">
    <cfRule type="expression" dxfId="250" priority="118">
      <formula>$K195="%"</formula>
    </cfRule>
  </conditionalFormatting>
  <conditionalFormatting sqref="V196">
    <cfRule type="expression" dxfId="249" priority="117">
      <formula>$M196="%"</formula>
    </cfRule>
  </conditionalFormatting>
  <conditionalFormatting sqref="V185">
    <cfRule type="expression" dxfId="248" priority="116">
      <formula>$K185="%"</formula>
    </cfRule>
  </conditionalFormatting>
  <conditionalFormatting sqref="V186">
    <cfRule type="expression" dxfId="247" priority="115">
      <formula>$K186="%"</formula>
    </cfRule>
  </conditionalFormatting>
  <conditionalFormatting sqref="V188">
    <cfRule type="expression" dxfId="246" priority="114">
      <formula>$K188="%"</formula>
    </cfRule>
  </conditionalFormatting>
  <conditionalFormatting sqref="V200">
    <cfRule type="expression" dxfId="245" priority="113">
      <formula>$K200="%"</formula>
    </cfRule>
  </conditionalFormatting>
  <conditionalFormatting sqref="V198">
    <cfRule type="expression" dxfId="244" priority="112">
      <formula>$K198="%"</formula>
    </cfRule>
  </conditionalFormatting>
  <conditionalFormatting sqref="V193">
    <cfRule type="expression" dxfId="243" priority="111">
      <formula>$K193="%"</formula>
    </cfRule>
  </conditionalFormatting>
  <conditionalFormatting sqref="Y184">
    <cfRule type="expression" dxfId="242" priority="110">
      <formula>$K184="%"</formula>
    </cfRule>
  </conditionalFormatting>
  <conditionalFormatting sqref="Y191">
    <cfRule type="containsText" dxfId="241" priority="109" operator="containsText" text="x">
      <formula>NOT(ISERROR(SEARCH("x",Y191)))</formula>
    </cfRule>
  </conditionalFormatting>
  <conditionalFormatting sqref="Y192">
    <cfRule type="containsText" dxfId="240" priority="108" operator="containsText" text="x">
      <formula>NOT(ISERROR(SEARCH("x",Y192)))</formula>
    </cfRule>
  </conditionalFormatting>
  <conditionalFormatting sqref="Y197">
    <cfRule type="containsText" dxfId="239" priority="107" operator="containsText" text="x">
      <formula>NOT(ISERROR(SEARCH("x",Y197)))</formula>
    </cfRule>
  </conditionalFormatting>
  <conditionalFormatting sqref="Y199">
    <cfRule type="containsText" dxfId="238" priority="106" operator="containsText" text="x">
      <formula>NOT(ISERROR(SEARCH("x",Y199)))</formula>
    </cfRule>
  </conditionalFormatting>
  <conditionalFormatting sqref="Y200">
    <cfRule type="containsText" dxfId="237" priority="105" operator="containsText" text="x">
      <formula>NOT(ISERROR(SEARCH("x",Y200)))</formula>
    </cfRule>
  </conditionalFormatting>
  <conditionalFormatting sqref="Y194">
    <cfRule type="expression" dxfId="236" priority="104">
      <formula>$K194="%"</formula>
    </cfRule>
  </conditionalFormatting>
  <conditionalFormatting sqref="Y195">
    <cfRule type="containsText" dxfId="235" priority="103" operator="containsText" text="x">
      <formula>NOT(ISERROR(SEARCH("x",Y195)))</formula>
    </cfRule>
  </conditionalFormatting>
  <conditionalFormatting sqref="Y196">
    <cfRule type="expression" dxfId="234" priority="102">
      <formula>$K196="%"</formula>
    </cfRule>
  </conditionalFormatting>
  <conditionalFormatting sqref="Y201">
    <cfRule type="expression" dxfId="233" priority="101">
      <formula>$K201="%"</formula>
    </cfRule>
  </conditionalFormatting>
  <conditionalFormatting sqref="Y185">
    <cfRule type="expression" dxfId="232" priority="100">
      <formula>$K185="%"</formula>
    </cfRule>
  </conditionalFormatting>
  <conditionalFormatting sqref="Y186">
    <cfRule type="expression" dxfId="231" priority="99">
      <formula>$K186="%"</formula>
    </cfRule>
  </conditionalFormatting>
  <conditionalFormatting sqref="Y188">
    <cfRule type="expression" dxfId="230" priority="98">
      <formula>$K188="%"</formula>
    </cfRule>
  </conditionalFormatting>
  <conditionalFormatting sqref="Y193">
    <cfRule type="containsText" dxfId="229" priority="97" operator="containsText" text="x">
      <formula>NOT(ISERROR(SEARCH("x",Y193)))</formula>
    </cfRule>
  </conditionalFormatting>
  <conditionalFormatting sqref="Y198">
    <cfRule type="containsText" dxfId="228" priority="96" operator="containsText" text="x">
      <formula>NOT(ISERROR(SEARCH("x",Y198)))</formula>
    </cfRule>
  </conditionalFormatting>
  <conditionalFormatting sqref="X184:X201">
    <cfRule type="expression" dxfId="227" priority="95">
      <formula>$K184="%"</formula>
    </cfRule>
  </conditionalFormatting>
  <conditionalFormatting sqref="V259:V273">
    <cfRule type="expression" dxfId="226" priority="94">
      <formula>$K259="%"</formula>
    </cfRule>
  </conditionalFormatting>
  <conditionalFormatting sqref="U259:U273">
    <cfRule type="expression" dxfId="225" priority="93">
      <formula>$K259="%"</formula>
    </cfRule>
  </conditionalFormatting>
  <conditionalFormatting sqref="Y259:Y273">
    <cfRule type="expression" dxfId="224" priority="92">
      <formula>$K259="%"</formula>
    </cfRule>
  </conditionalFormatting>
  <conditionalFormatting sqref="X259:X273">
    <cfRule type="expression" dxfId="223" priority="91">
      <formula>$K259="%"</formula>
    </cfRule>
  </conditionalFormatting>
  <conditionalFormatting sqref="U184:U201">
    <cfRule type="expression" dxfId="222" priority="90">
      <formula>$K184="%"</formula>
    </cfRule>
  </conditionalFormatting>
  <conditionalFormatting sqref="V318:V328">
    <cfRule type="expression" dxfId="221" priority="89">
      <formula>$K318="%"</formula>
    </cfRule>
  </conditionalFormatting>
  <conditionalFormatting sqref="Y318:Y328">
    <cfRule type="expression" dxfId="220" priority="88">
      <formula>$K318="%"</formula>
    </cfRule>
  </conditionalFormatting>
  <conditionalFormatting sqref="Y202:Y203">
    <cfRule type="expression" dxfId="219" priority="87">
      <formula>$K202="%"</formula>
    </cfRule>
  </conditionalFormatting>
  <conditionalFormatting sqref="X202:X203">
    <cfRule type="expression" dxfId="218" priority="86">
      <formula>$K202="%"</formula>
    </cfRule>
  </conditionalFormatting>
  <conditionalFormatting sqref="V138:V183">
    <cfRule type="expression" dxfId="217" priority="85">
      <formula>$K138="%"</formula>
    </cfRule>
  </conditionalFormatting>
  <conditionalFormatting sqref="U138:U183">
    <cfRule type="expression" dxfId="216" priority="84">
      <formula>$K138="%"</formula>
    </cfRule>
  </conditionalFormatting>
  <conditionalFormatting sqref="X138:Y183">
    <cfRule type="expression" dxfId="215" priority="83">
      <formula>$K138="%"</formula>
    </cfRule>
  </conditionalFormatting>
  <conditionalFormatting sqref="Y329:Y332">
    <cfRule type="expression" dxfId="214" priority="82">
      <formula>$K329="%"</formula>
    </cfRule>
  </conditionalFormatting>
  <conditionalFormatting sqref="X330:X332">
    <cfRule type="expression" dxfId="213" priority="81">
      <formula>$K330="%"</formula>
    </cfRule>
  </conditionalFormatting>
  <conditionalFormatting sqref="U222:U232">
    <cfRule type="expression" dxfId="212" priority="80">
      <formula>$M222="%"</formula>
    </cfRule>
  </conditionalFormatting>
  <conditionalFormatting sqref="V222:V232">
    <cfRule type="expression" dxfId="211" priority="79">
      <formula>$M222="%"</formula>
    </cfRule>
  </conditionalFormatting>
  <conditionalFormatting sqref="V254:V255">
    <cfRule type="expression" dxfId="210" priority="78">
      <formula>$M254="%"</formula>
    </cfRule>
  </conditionalFormatting>
  <conditionalFormatting sqref="X228:X232">
    <cfRule type="expression" dxfId="209" priority="77">
      <formula>$M228="%"</formula>
    </cfRule>
  </conditionalFormatting>
  <conditionalFormatting sqref="Y222:Y226">
    <cfRule type="expression" dxfId="208" priority="76">
      <formula>$M222="%"</formula>
    </cfRule>
  </conditionalFormatting>
  <conditionalFormatting sqref="Y228:Y232">
    <cfRule type="expression" dxfId="207" priority="75">
      <formula>$M228="%"</formula>
    </cfRule>
  </conditionalFormatting>
  <conditionalFormatting sqref="Y254:Y255">
    <cfRule type="expression" dxfId="206" priority="74">
      <formula>$M254="%"</formula>
    </cfRule>
  </conditionalFormatting>
  <conditionalFormatting sqref="T16:Y43">
    <cfRule type="expression" dxfId="205" priority="73">
      <formula>$K16="%"</formula>
    </cfRule>
  </conditionalFormatting>
  <conditionalFormatting sqref="T96:T101">
    <cfRule type="expression" dxfId="204" priority="72">
      <formula>$K96="%"</formula>
    </cfRule>
  </conditionalFormatting>
  <conditionalFormatting sqref="X83:Y95">
    <cfRule type="expression" dxfId="203" priority="71">
      <formula>$K83="%"</formula>
    </cfRule>
  </conditionalFormatting>
  <conditionalFormatting sqref="W349:Z349">
    <cfRule type="expression" dxfId="202" priority="70">
      <formula>$K349="%"</formula>
    </cfRule>
  </conditionalFormatting>
  <conditionalFormatting sqref="T122:Y122">
    <cfRule type="expression" dxfId="201" priority="68">
      <formula>$M122="%"</formula>
    </cfRule>
  </conditionalFormatting>
  <conditionalFormatting sqref="T121:Y121">
    <cfRule type="expression" dxfId="200" priority="67">
      <formula>$M121="%"</formula>
    </cfRule>
  </conditionalFormatting>
  <conditionalFormatting sqref="T124:Y124">
    <cfRule type="expression" dxfId="199" priority="66">
      <formula>$M124="%"</formula>
    </cfRule>
  </conditionalFormatting>
  <conditionalFormatting sqref="Y125">
    <cfRule type="expression" dxfId="198" priority="65">
      <formula>$M125="%"</formula>
    </cfRule>
  </conditionalFormatting>
  <conditionalFormatting sqref="T126:Y126">
    <cfRule type="expression" dxfId="197" priority="64">
      <formula>$M126="%"</formula>
    </cfRule>
  </conditionalFormatting>
  <conditionalFormatting sqref="Q120:R120">
    <cfRule type="expression" dxfId="196" priority="63">
      <formula>$K120="%"</formula>
    </cfRule>
  </conditionalFormatting>
  <conditionalFormatting sqref="AA339">
    <cfRule type="expression" dxfId="195" priority="62">
      <formula>$K339="%"</formula>
    </cfRule>
  </conditionalFormatting>
  <conditionalFormatting sqref="AA340">
    <cfRule type="expression" dxfId="194" priority="61">
      <formula>$K340="%"</formula>
    </cfRule>
  </conditionalFormatting>
  <conditionalFormatting sqref="X101">
    <cfRule type="expression" dxfId="193" priority="60">
      <formula>$K101="%"</formula>
    </cfRule>
  </conditionalFormatting>
  <conditionalFormatting sqref="AA232">
    <cfRule type="expression" dxfId="192" priority="59">
      <formula>$K232="%"</formula>
    </cfRule>
  </conditionalFormatting>
  <conditionalFormatting sqref="X255">
    <cfRule type="expression" dxfId="191" priority="58">
      <formula>$K255="%"</formula>
    </cfRule>
  </conditionalFormatting>
  <conditionalFormatting sqref="AA255">
    <cfRule type="expression" dxfId="190" priority="57">
      <formula>$K255="%"</formula>
    </cfRule>
  </conditionalFormatting>
  <conditionalFormatting sqref="AA257:AA258">
    <cfRule type="expression" dxfId="189" priority="56">
      <formula>$K257="%"</formula>
    </cfRule>
  </conditionalFormatting>
  <conditionalFormatting sqref="AA277">
    <cfRule type="expression" dxfId="188" priority="55">
      <formula>$K277="%"</formula>
    </cfRule>
  </conditionalFormatting>
  <conditionalFormatting sqref="U349">
    <cfRule type="expression" dxfId="187" priority="54">
      <formula>$K349="%"</formula>
    </cfRule>
  </conditionalFormatting>
  <conditionalFormatting sqref="Q349">
    <cfRule type="expression" dxfId="186" priority="53">
      <formula>$K349="%"</formula>
    </cfRule>
  </conditionalFormatting>
  <conditionalFormatting sqref="AA223">
    <cfRule type="expression" dxfId="185" priority="50">
      <formula>$K223="%"</formula>
    </cfRule>
  </conditionalFormatting>
  <conditionalFormatting sqref="AA6:AA10">
    <cfRule type="expression" dxfId="184" priority="49">
      <formula>$K6="%"</formula>
    </cfRule>
  </conditionalFormatting>
  <conditionalFormatting sqref="AA11:AA13">
    <cfRule type="expression" dxfId="183" priority="48">
      <formula>$K11="%"</formula>
    </cfRule>
  </conditionalFormatting>
  <conditionalFormatting sqref="AA14:AA15">
    <cfRule type="expression" dxfId="182" priority="47">
      <formula>$K14="%"</formula>
    </cfRule>
  </conditionalFormatting>
  <conditionalFormatting sqref="AA309:AA310">
    <cfRule type="expression" dxfId="181" priority="46">
      <formula>$K309="%"</formula>
    </cfRule>
  </conditionalFormatting>
  <conditionalFormatting sqref="T357:T359">
    <cfRule type="expression" dxfId="180" priority="45">
      <formula>$M357="%"</formula>
    </cfRule>
  </conditionalFormatting>
  <conditionalFormatting sqref="X357 X359">
    <cfRule type="expression" dxfId="179" priority="44">
      <formula>$M357="%"</formula>
    </cfRule>
  </conditionalFormatting>
  <conditionalFormatting sqref="U357:U359">
    <cfRule type="expression" dxfId="178" priority="43">
      <formula>$M357="%"</formula>
    </cfRule>
  </conditionalFormatting>
  <conditionalFormatting sqref="R363">
    <cfRule type="expression" dxfId="177" priority="42">
      <formula>$M363="%"</formula>
    </cfRule>
  </conditionalFormatting>
  <conditionalFormatting sqref="R360">
    <cfRule type="expression" dxfId="176" priority="41">
      <formula>$M360="%"</formula>
    </cfRule>
  </conditionalFormatting>
  <conditionalFormatting sqref="AD315:AE315">
    <cfRule type="expression" dxfId="175" priority="40">
      <formula>$K315="%"</formula>
    </cfRule>
  </conditionalFormatting>
  <conditionalFormatting sqref="U234">
    <cfRule type="expression" dxfId="174" priority="37">
      <formula>$M234="%"</formula>
    </cfRule>
  </conditionalFormatting>
  <conditionalFormatting sqref="U236">
    <cfRule type="expression" dxfId="173" priority="36">
      <formula>$M236="%"</formula>
    </cfRule>
  </conditionalFormatting>
  <conditionalFormatting sqref="U237">
    <cfRule type="expression" dxfId="172" priority="35">
      <formula>$M237="%"</formula>
    </cfRule>
  </conditionalFormatting>
  <conditionalFormatting sqref="U238">
    <cfRule type="expression" dxfId="171" priority="34">
      <formula>$M238="%"</formula>
    </cfRule>
  </conditionalFormatting>
  <conditionalFormatting sqref="U240">
    <cfRule type="expression" dxfId="170" priority="33">
      <formula>$M240="%"</formula>
    </cfRule>
  </conditionalFormatting>
  <conditionalFormatting sqref="U241">
    <cfRule type="expression" dxfId="169" priority="32">
      <formula>$M241="%"</formula>
    </cfRule>
  </conditionalFormatting>
  <conditionalFormatting sqref="U243">
    <cfRule type="expression" dxfId="168" priority="31">
      <formula>$M243="%"</formula>
    </cfRule>
  </conditionalFormatting>
  <conditionalFormatting sqref="U244">
    <cfRule type="expression" dxfId="167" priority="30">
      <formula>$M244="%"</formula>
    </cfRule>
  </conditionalFormatting>
  <conditionalFormatting sqref="U246">
    <cfRule type="expression" dxfId="166" priority="29">
      <formula>$M246="%"</formula>
    </cfRule>
  </conditionalFormatting>
  <conditionalFormatting sqref="U253">
    <cfRule type="expression" dxfId="165" priority="28">
      <formula>$M253="%"</formula>
    </cfRule>
  </conditionalFormatting>
  <conditionalFormatting sqref="U254">
    <cfRule type="expression" dxfId="164" priority="27">
      <formula>$M254="%"</formula>
    </cfRule>
  </conditionalFormatting>
  <conditionalFormatting sqref="U255">
    <cfRule type="expression" dxfId="163" priority="26">
      <formula>$M255="%"</formula>
    </cfRule>
  </conditionalFormatting>
  <conditionalFormatting sqref="U256">
    <cfRule type="expression" dxfId="162" priority="25">
      <formula>$M256="%"</formula>
    </cfRule>
  </conditionalFormatting>
  <conditionalFormatting sqref="U257">
    <cfRule type="expression" dxfId="161" priority="24">
      <formula>$M257="%"</formula>
    </cfRule>
  </conditionalFormatting>
  <conditionalFormatting sqref="U330">
    <cfRule type="expression" dxfId="160" priority="23">
      <formula>$M330="%"</formula>
    </cfRule>
  </conditionalFormatting>
  <conditionalFormatting sqref="AD340">
    <cfRule type="expression" dxfId="159" priority="22">
      <formula>$K340="%"</formula>
    </cfRule>
  </conditionalFormatting>
  <conditionalFormatting sqref="X358">
    <cfRule type="expression" dxfId="158" priority="21">
      <formula>$M358="%"</formula>
    </cfRule>
  </conditionalFormatting>
  <conditionalFormatting sqref="AA358">
    <cfRule type="expression" dxfId="157" priority="20">
      <formula>$M358="%"</formula>
    </cfRule>
  </conditionalFormatting>
  <conditionalFormatting sqref="AD358">
    <cfRule type="expression" dxfId="156" priority="19">
      <formula>$M358="%"</formula>
    </cfRule>
  </conditionalFormatting>
  <conditionalFormatting sqref="AG358">
    <cfRule type="expression" dxfId="155" priority="18">
      <formula>$M358="%"</formula>
    </cfRule>
  </conditionalFormatting>
  <conditionalFormatting sqref="Z356">
    <cfRule type="expression" dxfId="154" priority="17">
      <formula>$K356="%"</formula>
    </cfRule>
  </conditionalFormatting>
  <conditionalFormatting sqref="Z346">
    <cfRule type="expression" dxfId="153" priority="16">
      <formula>$K346="%"</formula>
    </cfRule>
  </conditionalFormatting>
  <conditionalFormatting sqref="AC346">
    <cfRule type="expression" dxfId="152" priority="15">
      <formula>$K346="%"</formula>
    </cfRule>
  </conditionalFormatting>
  <conditionalFormatting sqref="AF346">
    <cfRule type="expression" dxfId="151" priority="14">
      <formula>$K346="%"</formula>
    </cfRule>
  </conditionalFormatting>
  <conditionalFormatting sqref="Z347">
    <cfRule type="expression" dxfId="150" priority="13">
      <formula>$K347="%"</formula>
    </cfRule>
  </conditionalFormatting>
  <conditionalFormatting sqref="AC347">
    <cfRule type="expression" dxfId="149" priority="12">
      <formula>$K347="%"</formula>
    </cfRule>
  </conditionalFormatting>
  <conditionalFormatting sqref="AF347">
    <cfRule type="expression" dxfId="148" priority="11">
      <formula>$K347="%"</formula>
    </cfRule>
  </conditionalFormatting>
  <conditionalFormatting sqref="U352">
    <cfRule type="expression" dxfId="147" priority="10">
      <formula>$K352="%"</formula>
    </cfRule>
  </conditionalFormatting>
  <conditionalFormatting sqref="W352">
    <cfRule type="expression" dxfId="146" priority="9">
      <formula>$K352="%"</formula>
    </cfRule>
  </conditionalFormatting>
  <conditionalFormatting sqref="X352">
    <cfRule type="expression" dxfId="145" priority="8">
      <formula>$K352="%"</formula>
    </cfRule>
  </conditionalFormatting>
  <conditionalFormatting sqref="AA352">
    <cfRule type="expression" dxfId="144" priority="7">
      <formula>$K352="%"</formula>
    </cfRule>
  </conditionalFormatting>
  <conditionalFormatting sqref="AD352">
    <cfRule type="expression" dxfId="143" priority="6">
      <formula>$K352="%"</formula>
    </cfRule>
  </conditionalFormatting>
  <conditionalFormatting sqref="AG352">
    <cfRule type="expression" dxfId="142" priority="5">
      <formula>$K352="%"</formula>
    </cfRule>
  </conditionalFormatting>
  <conditionalFormatting sqref="X134">
    <cfRule type="expression" dxfId="141" priority="4">
      <formula>$K134="%"</formula>
    </cfRule>
  </conditionalFormatting>
  <conditionalFormatting sqref="AA134">
    <cfRule type="expression" dxfId="140" priority="3">
      <formula>$K134="%"</formula>
    </cfRule>
  </conditionalFormatting>
  <conditionalFormatting sqref="AJ136:AK137">
    <cfRule type="expression" dxfId="139" priority="2">
      <formula>$K136="%"</formula>
    </cfRule>
  </conditionalFormatting>
  <conditionalFormatting sqref="AK258">
    <cfRule type="expression" dxfId="138" priority="1">
      <formula>$K258="%"</formula>
    </cfRule>
  </conditionalFormatting>
  <pageMargins left="0.7" right="0.7" top="0.75" bottom="0.75" header="0.3" footer="0.3"/>
  <pageSetup orientation="portrait" r:id="rId1"/>
  <ignoredErrors>
    <ignoredError sqref="AF178" formula="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[1]Hoja1!#REF!</xm:f>
          </x14:formula1>
          <xm:sqref>H213:H221</xm:sqref>
        </x14:dataValidation>
        <x14:dataValidation type="list" allowBlank="1" showInputMessage="1" showErrorMessage="1">
          <x14:formula1>
            <xm:f>[2]Hoja1!#REF!</xm:f>
          </x14:formula1>
          <xm:sqref>H333:H340 H184:H201 H259:H273</xm:sqref>
        </x14:dataValidation>
        <x14:dataValidation type="list" allowBlank="1" showInputMessage="1" showErrorMessage="1">
          <x14:formula1>
            <xm:f>Hoja1!$A$2:$A$18</xm:f>
          </x14:formula1>
          <xm:sqref>H341:H359 H202:H212 H222:H258 H274:H332 H6:H183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4"/>
  <sheetViews>
    <sheetView topLeftCell="A19" workbookViewId="0">
      <selection activeCell="D23" sqref="D23"/>
    </sheetView>
  </sheetViews>
  <sheetFormatPr baseColWidth="10" defaultColWidth="11.42578125" defaultRowHeight="15"/>
  <cols>
    <col min="2" max="4" width="22.42578125" customWidth="1"/>
    <col min="6" max="12" width="11.42578125" customWidth="1"/>
  </cols>
  <sheetData>
    <row r="1" spans="2:4">
      <c r="B1" s="683" t="s">
        <v>2856</v>
      </c>
      <c r="C1" s="684"/>
      <c r="D1" s="684"/>
    </row>
    <row r="3" spans="2:4">
      <c r="B3" s="20" t="s">
        <v>12</v>
      </c>
      <c r="C3" s="22" t="s">
        <v>2857</v>
      </c>
      <c r="D3" s="22" t="s">
        <v>2858</v>
      </c>
    </row>
    <row r="4" spans="2:4" ht="30">
      <c r="B4" s="85" t="s">
        <v>13</v>
      </c>
      <c r="C4" s="622">
        <f>+AVERAGE('Metas Productos %'!BD6:BD15)</f>
        <v>0.4</v>
      </c>
      <c r="D4" s="376">
        <f>+AVERAGE('Metas Productos %'!BE6:BE15)</f>
        <v>0.76874999999999993</v>
      </c>
    </row>
    <row r="5" spans="2:4" ht="30">
      <c r="B5" s="86" t="s">
        <v>14</v>
      </c>
      <c r="C5" s="622">
        <f>+AVERAGE('Metas Productos %'!BD16:BD43)</f>
        <v>0.32291490104832787</v>
      </c>
      <c r="D5" s="376">
        <f>+AVERAGE('Metas Productos %'!BE16:BE43)</f>
        <v>0.49472505055911226</v>
      </c>
    </row>
    <row r="6" spans="2:4" ht="30">
      <c r="B6" s="87" t="s">
        <v>15</v>
      </c>
      <c r="C6" s="623">
        <f>+AVERAGE('Metas Productos %'!BD44:BD101)</f>
        <v>0.47307471264367801</v>
      </c>
      <c r="D6" s="377">
        <f>+AVERAGE('Metas Productos %'!BE44:BE101)</f>
        <v>0.39931149425287354</v>
      </c>
    </row>
    <row r="7" spans="2:4" ht="30">
      <c r="B7" s="87" t="s">
        <v>16</v>
      </c>
      <c r="C7" s="377">
        <f>+AVERAGE('Metas Productos %'!BD102:BD137)</f>
        <v>0.32022929292929292</v>
      </c>
      <c r="D7" s="377">
        <f>+AVERAGE('Metas Productos %'!BE102:BE137)</f>
        <v>0.3003218484848485</v>
      </c>
    </row>
    <row r="8" spans="2:4" ht="30">
      <c r="B8" s="87" t="s">
        <v>17</v>
      </c>
      <c r="C8" s="377">
        <f>+AVERAGE('Metas Productos %'!BD138:BD183)</f>
        <v>0.31884057971014496</v>
      </c>
      <c r="D8" s="377">
        <f>+AVERAGE('Metas Productos %'!BE138:BE183)</f>
        <v>0.41591666666666677</v>
      </c>
    </row>
    <row r="9" spans="2:4" ht="45">
      <c r="B9" s="87" t="s">
        <v>18</v>
      </c>
      <c r="C9" s="377">
        <f>+AVERAGE('Metas Productos %'!BD184:BD201)</f>
        <v>0.45044809902330329</v>
      </c>
      <c r="D9" s="377">
        <f>+AVERAGE('Metas Productos %'!BE184:BE201)</f>
        <v>0.65764210887025554</v>
      </c>
    </row>
    <row r="10" spans="2:4" ht="30">
      <c r="B10" s="87" t="s">
        <v>28</v>
      </c>
      <c r="C10" s="377">
        <f>+AVERAGE('Metas Productos %'!BD202:BD203)</f>
        <v>0.1</v>
      </c>
      <c r="D10" s="377">
        <f>+AVERAGE('Metas Productos %'!BE202:BE203)</f>
        <v>0.41000000000000003</v>
      </c>
    </row>
    <row r="11" spans="2:4" ht="30">
      <c r="B11" s="87" t="s">
        <v>21</v>
      </c>
      <c r="C11" s="377">
        <f>+AVERAGE('Metas Productos %'!BD204:BD210)</f>
        <v>0.31309523809523804</v>
      </c>
      <c r="D11" s="377">
        <f>+AVERAGE('Metas Productos %'!BE204:BE210)</f>
        <v>0.29642857142857137</v>
      </c>
    </row>
    <row r="12" spans="2:4" ht="30">
      <c r="B12" s="87" t="s">
        <v>22</v>
      </c>
      <c r="C12" s="377">
        <f>+AVERAGE('Metas Productos %'!BD211:BD212)</f>
        <v>0.42499999999999999</v>
      </c>
      <c r="D12" s="623">
        <f>+AVERAGE('Metas Productos %'!BE211:BE212)</f>
        <v>0.35</v>
      </c>
    </row>
    <row r="13" spans="2:4" ht="30">
      <c r="B13" s="87" t="s">
        <v>23</v>
      </c>
      <c r="C13" s="377">
        <f>+AVERAGE('Metas Productos %'!BD213:BD221)</f>
        <v>0</v>
      </c>
      <c r="D13" s="623">
        <f>+AVERAGE('Metas Productos %'!BE213:BE221)</f>
        <v>0.1111111111111111</v>
      </c>
    </row>
    <row r="14" spans="2:4" ht="30">
      <c r="B14" s="87" t="s">
        <v>24</v>
      </c>
      <c r="C14" s="377">
        <f>+AVERAGE('Metas Productos %'!BD222:BD258)</f>
        <v>0.48513513513513523</v>
      </c>
      <c r="D14" s="377">
        <f>+AVERAGE('Metas Productos %'!BE222:BE258)</f>
        <v>0.76104788999525852</v>
      </c>
    </row>
    <row r="15" spans="2:4" ht="45">
      <c r="B15" s="87" t="s">
        <v>25</v>
      </c>
      <c r="C15" s="377">
        <f>+AVERAGE('Metas Productos %'!BD259:BD289)</f>
        <v>0.16650660522273425</v>
      </c>
      <c r="D15" s="377">
        <f>+AVERAGE('Metas Productos %'!BE259:BE289)</f>
        <v>0.40452655700435342</v>
      </c>
    </row>
    <row r="16" spans="2:4" ht="30">
      <c r="B16" s="87" t="s">
        <v>26</v>
      </c>
      <c r="C16" s="377">
        <f>+AVERAGE('Metas Productos %'!BD290:BD296)</f>
        <v>0.42857142857142855</v>
      </c>
      <c r="D16" s="377">
        <f>+AVERAGE('Metas Productos %'!BE290:BE296)</f>
        <v>0.40476190476190471</v>
      </c>
    </row>
    <row r="17" spans="2:4" ht="30">
      <c r="B17" s="87" t="s">
        <v>27</v>
      </c>
      <c r="C17" s="377">
        <f>+AVERAGE('Metas Productos %'!BD297:BD315)</f>
        <v>0.52185964912280702</v>
      </c>
      <c r="D17" s="377">
        <f>+AVERAGE('Metas Productos %'!BE297:BE315)</f>
        <v>0.53574999999999995</v>
      </c>
    </row>
    <row r="18" spans="2:4" ht="30">
      <c r="B18" s="87" t="s">
        <v>20</v>
      </c>
      <c r="C18" s="377">
        <f>+AVERAGE('Metas Productos %'!BD316:BD317)</f>
        <v>0.1</v>
      </c>
      <c r="D18" s="377">
        <f>+AVERAGE('Metas Productos %'!BE316:BE317)</f>
        <v>0.1</v>
      </c>
    </row>
    <row r="19" spans="2:4" ht="45">
      <c r="B19" s="87" t="s">
        <v>29</v>
      </c>
      <c r="C19" s="377">
        <f>+AVERAGE('Metas Productos %'!BD318:BD328)</f>
        <v>0.18181818181818182</v>
      </c>
      <c r="D19" s="377">
        <f>+AVERAGE('Metas Productos %'!BE318:BE328)</f>
        <v>0.27272727272727265</v>
      </c>
    </row>
    <row r="20" spans="2:4" ht="30">
      <c r="B20" s="87" t="s">
        <v>31</v>
      </c>
      <c r="C20" s="377">
        <f>+AVERAGE('Metas Productos %'!BD333:BD340)</f>
        <v>0.43541666666666667</v>
      </c>
      <c r="D20" s="377">
        <f>+AVERAGE('Metas Productos %'!BE333:BE340)</f>
        <v>0.59804999999999997</v>
      </c>
    </row>
    <row r="21" spans="2:4" ht="30">
      <c r="B21" s="87" t="s">
        <v>32</v>
      </c>
      <c r="C21" s="377">
        <f>+AVERAGE('Metas Productos %'!BD341:BD348)</f>
        <v>0.45624999999999999</v>
      </c>
      <c r="D21" s="377">
        <f>+AVERAGE('Metas Productos %'!BE341:BE348)</f>
        <v>0.46247499999999997</v>
      </c>
    </row>
    <row r="22" spans="2:4" ht="45">
      <c r="B22" s="87" t="s">
        <v>33</v>
      </c>
      <c r="C22" s="377">
        <f>+AVERAGE('Metas Productos %'!BD349:BD350)</f>
        <v>0.29165000000000002</v>
      </c>
      <c r="D22" s="377">
        <f>+AVERAGE('Metas Productos %'!BE349:BE350)</f>
        <v>0.34220833333333334</v>
      </c>
    </row>
    <row r="23" spans="2:4" ht="30">
      <c r="B23" s="87" t="s">
        <v>34</v>
      </c>
      <c r="C23" s="377">
        <f>+AVERAGE('Metas Productos %'!BD351:BD356)</f>
        <v>0.49996666666666667</v>
      </c>
      <c r="D23" s="377">
        <f>+AVERAGE('Metas Productos %'!BE351:BE356)</f>
        <v>0.53415470085470085</v>
      </c>
    </row>
    <row r="24" spans="2:4" ht="30">
      <c r="B24" s="142" t="s">
        <v>19</v>
      </c>
      <c r="C24" s="378">
        <f>+AVERAGE('Metas Productos %'!BD357:BD359)</f>
        <v>0.53888888888888886</v>
      </c>
      <c r="D24" s="378">
        <f>+AVERAGE('Metas Productos %'!BE357:BE359)</f>
        <v>0.57222222222222208</v>
      </c>
    </row>
    <row r="25" spans="2:4">
      <c r="B25" s="142" t="s">
        <v>35</v>
      </c>
      <c r="C25" s="378">
        <f>+AVERAGE('Metas Productos %'!BD360:BD372)</f>
        <v>0.65802349650349634</v>
      </c>
      <c r="D25" s="378">
        <f>+AVERAGE('Metas Productos %'!BE360:BE372)</f>
        <v>0.26930717948717953</v>
      </c>
    </row>
    <row r="26" spans="2:4" ht="31.5" customHeight="1">
      <c r="B26" s="31" t="s">
        <v>30</v>
      </c>
      <c r="C26" s="56">
        <f>+AVERAGE('Metas Productos %'!BD329:BD332)</f>
        <v>0.62875000000000003</v>
      </c>
      <c r="D26" s="56">
        <v>1</v>
      </c>
    </row>
    <row r="32" spans="2:4" ht="30">
      <c r="B32" s="144" t="s">
        <v>36</v>
      </c>
      <c r="C32" s="57">
        <v>211</v>
      </c>
    </row>
    <row r="33" spans="2:7" ht="30">
      <c r="B33" s="144" t="s">
        <v>37</v>
      </c>
      <c r="C33" s="57">
        <v>156</v>
      </c>
    </row>
    <row r="34" spans="2:7">
      <c r="E34" s="23" t="s">
        <v>2859</v>
      </c>
      <c r="F34" s="23"/>
      <c r="G34" s="23"/>
    </row>
    <row r="35" spans="2:7">
      <c r="B35" s="24" t="s">
        <v>38</v>
      </c>
      <c r="C35" s="24" t="s">
        <v>39</v>
      </c>
      <c r="E35" s="58">
        <v>0.75</v>
      </c>
      <c r="F35" s="58"/>
      <c r="G35" s="58"/>
    </row>
    <row r="36" spans="2:7">
      <c r="B36" s="25" t="s">
        <v>40</v>
      </c>
      <c r="C36" s="25">
        <v>35</v>
      </c>
      <c r="E36" s="58">
        <v>1.75</v>
      </c>
      <c r="F36" s="58"/>
      <c r="G36" s="58"/>
    </row>
    <row r="37" spans="2:7">
      <c r="B37" s="25" t="s">
        <v>41</v>
      </c>
      <c r="C37" s="25">
        <v>74</v>
      </c>
      <c r="E37" s="58">
        <v>3.25</v>
      </c>
      <c r="F37" s="58"/>
      <c r="G37" s="58"/>
    </row>
    <row r="38" spans="2:7">
      <c r="B38" s="25" t="s">
        <v>42</v>
      </c>
      <c r="C38" s="25">
        <v>85</v>
      </c>
      <c r="E38" s="58">
        <v>0.25</v>
      </c>
      <c r="F38" s="58"/>
      <c r="G38" s="58"/>
    </row>
    <row r="39" spans="2:7">
      <c r="B39" s="25" t="s">
        <v>43</v>
      </c>
      <c r="C39" s="25">
        <v>17</v>
      </c>
      <c r="E39" s="58">
        <v>4</v>
      </c>
      <c r="F39" s="58"/>
      <c r="G39" s="58"/>
    </row>
    <row r="40" spans="2:7">
      <c r="E40" s="58">
        <v>0.5163559044815178</v>
      </c>
      <c r="F40" s="58"/>
      <c r="G40" s="58"/>
    </row>
    <row r="41" spans="2:7">
      <c r="E41" s="58">
        <v>0.13519999999999999</v>
      </c>
      <c r="F41" s="58"/>
      <c r="G41" s="58"/>
    </row>
    <row r="42" spans="2:7">
      <c r="E42" s="58">
        <v>0.5</v>
      </c>
      <c r="F42" s="58"/>
      <c r="G42" s="58"/>
    </row>
    <row r="43" spans="2:7" ht="15" customHeight="1">
      <c r="E43" s="58">
        <v>0</v>
      </c>
      <c r="F43" s="58"/>
      <c r="G43" s="58"/>
    </row>
    <row r="44" spans="2:7">
      <c r="E44" s="58">
        <v>1</v>
      </c>
      <c r="F44" s="58"/>
      <c r="G44" s="58"/>
    </row>
    <row r="45" spans="2:7" ht="15" customHeight="1">
      <c r="E45" s="58">
        <v>1</v>
      </c>
      <c r="F45" s="58"/>
      <c r="G45" s="58"/>
    </row>
    <row r="46" spans="2:7">
      <c r="E46" s="58">
        <v>1</v>
      </c>
      <c r="F46" s="58"/>
      <c r="G46" s="58"/>
    </row>
    <row r="47" spans="2:7">
      <c r="E47" s="58">
        <v>1</v>
      </c>
      <c r="F47" s="58"/>
      <c r="G47" s="58"/>
    </row>
    <row r="48" spans="2:7">
      <c r="E48" s="58">
        <v>0.23</v>
      </c>
      <c r="F48" s="58"/>
      <c r="G48" s="58"/>
    </row>
    <row r="49" spans="5:7">
      <c r="E49" s="58">
        <v>0.48</v>
      </c>
      <c r="F49" s="58"/>
      <c r="G49" s="58"/>
    </row>
    <row r="50" spans="5:7">
      <c r="E50" s="58">
        <v>0.26</v>
      </c>
      <c r="F50" s="58"/>
      <c r="G50" s="58"/>
    </row>
    <row r="51" spans="5:7">
      <c r="E51" s="58">
        <v>0.31</v>
      </c>
      <c r="F51" s="58"/>
      <c r="G51" s="58"/>
    </row>
    <row r="52" spans="5:7">
      <c r="E52" s="58">
        <v>0.59000000000000008</v>
      </c>
      <c r="F52" s="58"/>
      <c r="G52" s="58"/>
    </row>
    <row r="53" spans="5:7">
      <c r="E53" s="58">
        <v>0.22</v>
      </c>
      <c r="F53" s="58"/>
      <c r="G53" s="58"/>
    </row>
    <row r="54" spans="5:7">
      <c r="E54" s="58">
        <v>0.67365401588702556</v>
      </c>
      <c r="F54" s="58"/>
      <c r="G54" s="58"/>
    </row>
    <row r="55" spans="5:7">
      <c r="E55" s="58">
        <v>3.4437663469921533E-2</v>
      </c>
      <c r="F55" s="58"/>
      <c r="G55" s="58"/>
    </row>
    <row r="56" spans="5:7" ht="15" customHeight="1">
      <c r="E56" s="58">
        <v>0.25</v>
      </c>
      <c r="F56" s="58"/>
      <c r="G56" s="58"/>
    </row>
    <row r="57" spans="5:7">
      <c r="E57" s="58">
        <v>0</v>
      </c>
      <c r="F57" s="58"/>
      <c r="G57" s="58"/>
    </row>
    <row r="58" spans="5:7">
      <c r="E58" s="58">
        <v>0</v>
      </c>
      <c r="F58" s="58"/>
      <c r="G58" s="58"/>
    </row>
    <row r="59" spans="5:7">
      <c r="E59" s="58">
        <v>1.2</v>
      </c>
      <c r="F59" s="58"/>
      <c r="G59" s="58"/>
    </row>
    <row r="60" spans="5:7" ht="15" customHeight="1">
      <c r="E60" s="58">
        <v>3</v>
      </c>
      <c r="F60" s="58"/>
      <c r="G60" s="58"/>
    </row>
    <row r="61" spans="5:7">
      <c r="E61" s="58">
        <v>0</v>
      </c>
      <c r="F61" s="58"/>
      <c r="G61" s="58"/>
    </row>
    <row r="62" spans="5:7">
      <c r="E62" s="58">
        <v>0.6</v>
      </c>
      <c r="F62" s="58"/>
      <c r="G62" s="58"/>
    </row>
    <row r="63" spans="5:7">
      <c r="E63" s="58">
        <v>0</v>
      </c>
      <c r="F63" s="58"/>
      <c r="G63" s="58"/>
    </row>
    <row r="64" spans="5:7">
      <c r="E64" s="58">
        <v>1.1000000000000001</v>
      </c>
      <c r="F64" s="58"/>
      <c r="G64" s="58"/>
    </row>
    <row r="65" spans="5:7">
      <c r="E65" s="58">
        <v>1</v>
      </c>
      <c r="F65" s="58"/>
      <c r="G65" s="58"/>
    </row>
    <row r="66" spans="5:7">
      <c r="E66" s="58">
        <v>0</v>
      </c>
      <c r="F66" s="58"/>
      <c r="G66" s="58"/>
    </row>
    <row r="67" spans="5:7">
      <c r="E67" s="58">
        <v>0</v>
      </c>
      <c r="F67" s="58"/>
      <c r="G67" s="58"/>
    </row>
    <row r="68" spans="5:7" ht="15" customHeight="1">
      <c r="E68" s="58">
        <v>1</v>
      </c>
      <c r="F68" s="58"/>
      <c r="G68" s="58"/>
    </row>
    <row r="69" spans="5:7">
      <c r="E69" s="58">
        <v>1</v>
      </c>
      <c r="F69" s="58"/>
      <c r="G69" s="58"/>
    </row>
    <row r="70" spans="5:7">
      <c r="E70" s="58">
        <v>1</v>
      </c>
      <c r="F70" s="58"/>
      <c r="G70" s="58"/>
    </row>
    <row r="71" spans="5:7">
      <c r="E71" s="58">
        <v>1</v>
      </c>
      <c r="F71" s="58"/>
      <c r="G71" s="58"/>
    </row>
    <row r="72" spans="5:7">
      <c r="E72" s="58">
        <v>0</v>
      </c>
      <c r="F72" s="58"/>
      <c r="G72" s="58"/>
    </row>
    <row r="73" spans="5:7">
      <c r="E73" s="58">
        <v>0</v>
      </c>
      <c r="F73" s="58"/>
      <c r="G73" s="58"/>
    </row>
    <row r="74" spans="5:7">
      <c r="E74" s="58">
        <v>0</v>
      </c>
      <c r="F74" s="58"/>
      <c r="G74" s="58"/>
    </row>
    <row r="75" spans="5:7">
      <c r="E75" s="58">
        <v>0</v>
      </c>
      <c r="F75" s="58"/>
      <c r="G75" s="58"/>
    </row>
    <row r="76" spans="5:7" ht="15" customHeight="1">
      <c r="E76" s="58">
        <v>1.6</v>
      </c>
      <c r="F76" s="58"/>
      <c r="G76" s="58"/>
    </row>
    <row r="77" spans="5:7">
      <c r="E77" s="58">
        <v>1</v>
      </c>
      <c r="F77" s="58"/>
      <c r="G77" s="58"/>
    </row>
    <row r="78" spans="5:7" ht="15" customHeight="1">
      <c r="E78" s="58">
        <v>0</v>
      </c>
      <c r="F78" s="58"/>
      <c r="G78" s="58"/>
    </row>
    <row r="79" spans="5:7">
      <c r="E79" s="58">
        <v>0.307</v>
      </c>
      <c r="F79" s="58"/>
      <c r="G79" s="58"/>
    </row>
    <row r="80" spans="5:7">
      <c r="E80" s="58">
        <v>15</v>
      </c>
      <c r="F80" s="58"/>
      <c r="G80" s="58"/>
    </row>
    <row r="81" spans="5:7">
      <c r="E81" s="58">
        <v>0.04</v>
      </c>
      <c r="F81" s="58"/>
      <c r="G81" s="58"/>
    </row>
    <row r="82" spans="5:7">
      <c r="E82" s="58">
        <v>0.9</v>
      </c>
      <c r="F82" s="58"/>
      <c r="G82" s="58"/>
    </row>
    <row r="83" spans="5:7">
      <c r="E83" s="58">
        <v>3</v>
      </c>
      <c r="F83" s="58"/>
      <c r="G83" s="58"/>
    </row>
    <row r="84" spans="5:7">
      <c r="E84" s="58">
        <v>2.375</v>
      </c>
      <c r="F84" s="58"/>
      <c r="G84" s="58"/>
    </row>
    <row r="85" spans="5:7">
      <c r="E85" s="58">
        <v>0.15000000000000002</v>
      </c>
      <c r="F85" s="58"/>
      <c r="G85" s="58"/>
    </row>
    <row r="86" spans="5:7">
      <c r="E86" s="58">
        <v>0.42857142857142866</v>
      </c>
      <c r="F86" s="58"/>
      <c r="G86" s="58"/>
    </row>
    <row r="87" spans="5:7">
      <c r="E87" s="58">
        <v>0</v>
      </c>
      <c r="F87" s="58"/>
      <c r="G87" s="58"/>
    </row>
    <row r="88" spans="5:7">
      <c r="E88" s="58">
        <v>0.9321666666666667</v>
      </c>
      <c r="F88" s="58"/>
      <c r="G88" s="58"/>
    </row>
    <row r="89" spans="5:7">
      <c r="E89" s="58">
        <v>1</v>
      </c>
      <c r="F89" s="58"/>
      <c r="G89" s="58"/>
    </row>
    <row r="90" spans="5:7">
      <c r="E90" s="58">
        <v>1</v>
      </c>
      <c r="F90" s="58"/>
      <c r="G90" s="58"/>
    </row>
    <row r="91" spans="5:7">
      <c r="E91" s="58">
        <v>1</v>
      </c>
      <c r="F91" s="58"/>
      <c r="G91" s="58"/>
    </row>
    <row r="92" spans="5:7">
      <c r="E92" s="58">
        <v>0.96222222222222231</v>
      </c>
      <c r="F92" s="58"/>
      <c r="G92" s="58"/>
    </row>
    <row r="93" spans="5:7">
      <c r="E93" s="58">
        <v>1</v>
      </c>
      <c r="F93" s="58"/>
      <c r="G93" s="58"/>
    </row>
    <row r="94" spans="5:7">
      <c r="E94" s="58">
        <v>1</v>
      </c>
      <c r="F94" s="58"/>
      <c r="G94" s="58"/>
    </row>
    <row r="95" spans="5:7">
      <c r="E95" s="58">
        <v>1</v>
      </c>
      <c r="F95" s="58"/>
      <c r="G95" s="58"/>
    </row>
    <row r="96" spans="5:7">
      <c r="E96" s="58">
        <v>1</v>
      </c>
      <c r="F96" s="58"/>
      <c r="G96" s="58"/>
    </row>
    <row r="97" spans="5:7">
      <c r="E97" s="58">
        <v>0.11000000000000001</v>
      </c>
      <c r="F97" s="58"/>
      <c r="G97" s="58"/>
    </row>
    <row r="98" spans="5:7">
      <c r="E98" s="58">
        <v>0.42590000000000006</v>
      </c>
      <c r="F98" s="58"/>
      <c r="G98" s="58"/>
    </row>
    <row r="99" spans="5:7">
      <c r="E99" s="58">
        <v>4</v>
      </c>
      <c r="F99" s="58"/>
      <c r="G99" s="58"/>
    </row>
    <row r="100" spans="5:7">
      <c r="E100" s="58">
        <v>0</v>
      </c>
      <c r="F100" s="58"/>
      <c r="G100" s="58"/>
    </row>
    <row r="101" spans="5:7">
      <c r="E101" s="58">
        <v>0.5</v>
      </c>
      <c r="F101" s="58"/>
      <c r="G101" s="58"/>
    </row>
    <row r="102" spans="5:7">
      <c r="E102" s="58">
        <v>1</v>
      </c>
      <c r="F102" s="58"/>
      <c r="G102" s="58"/>
    </row>
    <row r="103" spans="5:7">
      <c r="E103" s="58">
        <v>1</v>
      </c>
      <c r="F103" s="58"/>
      <c r="G103" s="58"/>
    </row>
    <row r="104" spans="5:7">
      <c r="E104" s="58">
        <v>0.33333333333333331</v>
      </c>
      <c r="F104" s="58"/>
      <c r="G104" s="58"/>
    </row>
    <row r="105" spans="5:7">
      <c r="E105" s="58">
        <v>0.5</v>
      </c>
      <c r="F105" s="58"/>
      <c r="G105" s="58"/>
    </row>
    <row r="106" spans="5:7">
      <c r="E106" s="58">
        <v>1</v>
      </c>
      <c r="F106" s="58"/>
      <c r="G106" s="58"/>
    </row>
    <row r="107" spans="5:7">
      <c r="E107" s="58">
        <v>1</v>
      </c>
      <c r="F107" s="58"/>
      <c r="G107" s="58"/>
    </row>
    <row r="108" spans="5:7">
      <c r="E108" s="58">
        <v>0.02</v>
      </c>
      <c r="F108" s="58"/>
      <c r="G108" s="58"/>
    </row>
    <row r="109" spans="5:7">
      <c r="E109" s="58">
        <v>1</v>
      </c>
      <c r="F109" s="58"/>
      <c r="G109" s="58"/>
    </row>
    <row r="110" spans="5:7">
      <c r="E110" s="58">
        <v>0</v>
      </c>
      <c r="F110" s="58"/>
      <c r="G110" s="58"/>
    </row>
    <row r="111" spans="5:7">
      <c r="E111" s="58">
        <v>0</v>
      </c>
      <c r="F111" s="58"/>
      <c r="G111" s="58"/>
    </row>
    <row r="112" spans="5:7">
      <c r="E112" s="58">
        <v>5</v>
      </c>
      <c r="F112" s="58"/>
      <c r="G112" s="58"/>
    </row>
    <row r="113" spans="5:7">
      <c r="E113" s="58">
        <v>3</v>
      </c>
      <c r="F113" s="58"/>
      <c r="G113" s="58"/>
    </row>
    <row r="114" spans="5:7">
      <c r="E114" s="58">
        <v>8</v>
      </c>
      <c r="F114" s="58"/>
      <c r="G114" s="58"/>
    </row>
    <row r="115" spans="5:7">
      <c r="E115" s="58">
        <v>1</v>
      </c>
      <c r="F115" s="58"/>
      <c r="G115" s="58"/>
    </row>
    <row r="116" spans="5:7">
      <c r="E116" s="58">
        <v>2</v>
      </c>
      <c r="F116" s="58"/>
      <c r="G116" s="58"/>
    </row>
    <row r="117" spans="5:7">
      <c r="E117" s="58">
        <v>1</v>
      </c>
      <c r="F117" s="58"/>
      <c r="G117" s="58"/>
    </row>
    <row r="118" spans="5:7">
      <c r="E118" s="58">
        <v>1</v>
      </c>
      <c r="F118" s="58"/>
      <c r="G118" s="58"/>
    </row>
    <row r="119" spans="5:7">
      <c r="E119" s="58">
        <v>0</v>
      </c>
      <c r="F119" s="58"/>
      <c r="G119" s="58"/>
    </row>
    <row r="120" spans="5:7">
      <c r="E120" s="58">
        <v>0</v>
      </c>
      <c r="F120" s="58"/>
      <c r="G120" s="58"/>
    </row>
    <row r="121" spans="5:7">
      <c r="E121" s="58">
        <v>0</v>
      </c>
      <c r="F121" s="58"/>
      <c r="G121" s="58"/>
    </row>
    <row r="122" spans="5:7">
      <c r="E122" s="58">
        <v>0.56000000000000005</v>
      </c>
      <c r="F122" s="58"/>
      <c r="G122" s="58"/>
    </row>
    <row r="123" spans="5:7">
      <c r="E123" s="58">
        <v>5.8689024390243899E-2</v>
      </c>
      <c r="F123" s="58"/>
      <c r="G123" s="58"/>
    </row>
    <row r="124" spans="5:7">
      <c r="E124" s="58">
        <v>0.9285115303983229</v>
      </c>
      <c r="F124" s="58"/>
      <c r="G124" s="58"/>
    </row>
    <row r="125" spans="5:7">
      <c r="E125" s="58">
        <v>1.736</v>
      </c>
      <c r="F125" s="58"/>
      <c r="G125" s="58"/>
    </row>
    <row r="126" spans="5:7">
      <c r="E126" s="58">
        <v>0</v>
      </c>
      <c r="F126" s="58"/>
      <c r="G126" s="58"/>
    </row>
    <row r="127" spans="5:7">
      <c r="E127" s="58">
        <v>0</v>
      </c>
      <c r="F127" s="58"/>
      <c r="G127" s="58"/>
    </row>
    <row r="128" spans="5:7">
      <c r="E128" s="58">
        <v>2.3333333333333335</v>
      </c>
      <c r="F128" s="58"/>
      <c r="G128" s="58"/>
    </row>
    <row r="129" spans="5:7">
      <c r="E129" s="58">
        <v>2.1666666666666665</v>
      </c>
      <c r="F129" s="58"/>
      <c r="G129" s="58"/>
    </row>
    <row r="130" spans="5:7">
      <c r="E130" s="58">
        <v>1.5000000000000002</v>
      </c>
      <c r="F130" s="58"/>
      <c r="G130" s="58"/>
    </row>
    <row r="131" spans="5:7">
      <c r="E131" s="58">
        <v>0.57999999999999996</v>
      </c>
      <c r="F131" s="58"/>
      <c r="G131" s="58"/>
    </row>
    <row r="132" spans="5:7">
      <c r="E132" s="58">
        <v>1</v>
      </c>
      <c r="F132" s="58"/>
      <c r="G132" s="58"/>
    </row>
    <row r="133" spans="5:7">
      <c r="E133" s="58">
        <v>0.6</v>
      </c>
      <c r="F133" s="58"/>
      <c r="G133" s="58"/>
    </row>
    <row r="134" spans="5:7">
      <c r="E134" s="58">
        <v>0.45999999999999996</v>
      </c>
      <c r="F134" s="58"/>
      <c r="G134" s="58"/>
    </row>
    <row r="135" spans="5:7">
      <c r="E135">
        <v>9</v>
      </c>
    </row>
    <row r="136" spans="5:7">
      <c r="E136">
        <v>16.499999999999996</v>
      </c>
    </row>
    <row r="137" spans="5:7">
      <c r="E137">
        <v>2.25</v>
      </c>
    </row>
    <row r="138" spans="5:7">
      <c r="E138">
        <v>1</v>
      </c>
    </row>
    <row r="139" spans="5:7">
      <c r="E139">
        <v>0</v>
      </c>
    </row>
    <row r="140" spans="5:7">
      <c r="E140">
        <v>1.6666666666666667</v>
      </c>
    </row>
    <row r="141" spans="5:7">
      <c r="E141">
        <v>0</v>
      </c>
    </row>
    <row r="142" spans="5:7">
      <c r="E142">
        <v>44</v>
      </c>
    </row>
    <row r="143" spans="5:7">
      <c r="E143">
        <v>1.3</v>
      </c>
    </row>
    <row r="144" spans="5:7">
      <c r="E144">
        <v>0.5</v>
      </c>
    </row>
    <row r="145" spans="5:5">
      <c r="E145">
        <v>0.30000000000000004</v>
      </c>
    </row>
    <row r="146" spans="5:5">
      <c r="E146">
        <v>0.48</v>
      </c>
    </row>
    <row r="147" spans="5:5">
      <c r="E147">
        <v>0.88</v>
      </c>
    </row>
    <row r="148" spans="5:5">
      <c r="E148">
        <v>1</v>
      </c>
    </row>
    <row r="149" spans="5:5">
      <c r="E149">
        <v>1.4999999999999998</v>
      </c>
    </row>
    <row r="150" spans="5:5">
      <c r="E150">
        <v>3.5999999999999996</v>
      </c>
    </row>
    <row r="151" spans="5:5">
      <c r="E151">
        <v>0.9</v>
      </c>
    </row>
    <row r="152" spans="5:5">
      <c r="E152">
        <v>3.8</v>
      </c>
    </row>
    <row r="153" spans="5:5">
      <c r="E153">
        <v>4</v>
      </c>
    </row>
    <row r="154" spans="5:5">
      <c r="E154">
        <v>2.1999999999999997</v>
      </c>
    </row>
    <row r="155" spans="5:5">
      <c r="E155">
        <v>2</v>
      </c>
    </row>
    <row r="156" spans="5:5">
      <c r="E156">
        <v>4.92</v>
      </c>
    </row>
    <row r="157" spans="5:5">
      <c r="E157">
        <v>1.88</v>
      </c>
    </row>
    <row r="158" spans="5:5">
      <c r="E158">
        <v>0.66666666666666663</v>
      </c>
    </row>
    <row r="159" spans="5:5">
      <c r="E159">
        <v>1</v>
      </c>
    </row>
    <row r="160" spans="5:5">
      <c r="E160">
        <v>1</v>
      </c>
    </row>
    <row r="161" spans="5:5">
      <c r="E161">
        <v>1</v>
      </c>
    </row>
    <row r="162" spans="5:5">
      <c r="E162">
        <v>1</v>
      </c>
    </row>
    <row r="163" spans="5:5">
      <c r="E163">
        <v>1</v>
      </c>
    </row>
    <row r="164" spans="5:5">
      <c r="E164">
        <v>0.30000000000000004</v>
      </c>
    </row>
    <row r="165" spans="5:5">
      <c r="E165">
        <v>1.1200000000000001</v>
      </c>
    </row>
    <row r="166" spans="5:5">
      <c r="E166">
        <v>0.4</v>
      </c>
    </row>
    <row r="167" spans="5:5">
      <c r="E167">
        <v>1.2676948499036078</v>
      </c>
    </row>
    <row r="168" spans="5:5">
      <c r="E168">
        <v>0.66666666666666663</v>
      </c>
    </row>
    <row r="169" spans="5:5">
      <c r="E169">
        <v>50.5</v>
      </c>
    </row>
    <row r="170" spans="5:5">
      <c r="E170">
        <v>1</v>
      </c>
    </row>
    <row r="171" spans="5:5">
      <c r="E171">
        <v>0.28747961538461536</v>
      </c>
    </row>
    <row r="172" spans="5:5">
      <c r="E172">
        <v>2.0526315789473686</v>
      </c>
    </row>
    <row r="173" spans="5:5">
      <c r="E173">
        <v>1.3</v>
      </c>
    </row>
    <row r="174" spans="5:5">
      <c r="E174">
        <v>0.125</v>
      </c>
    </row>
    <row r="175" spans="5:5">
      <c r="E175">
        <v>0.9</v>
      </c>
    </row>
    <row r="176" spans="5:5">
      <c r="E176">
        <v>1</v>
      </c>
    </row>
    <row r="177" spans="5:5">
      <c r="E177">
        <v>1</v>
      </c>
    </row>
    <row r="178" spans="5:5">
      <c r="E178">
        <v>2</v>
      </c>
    </row>
    <row r="179" spans="5:5">
      <c r="E179">
        <v>1</v>
      </c>
    </row>
    <row r="180" spans="5:5">
      <c r="E180">
        <v>1.5</v>
      </c>
    </row>
    <row r="181" spans="5:5">
      <c r="E181">
        <v>0</v>
      </c>
    </row>
    <row r="182" spans="5:5">
      <c r="E182">
        <v>2</v>
      </c>
    </row>
    <row r="183" spans="5:5">
      <c r="E183">
        <v>3.5</v>
      </c>
    </row>
    <row r="184" spans="5:5">
      <c r="E184">
        <v>1</v>
      </c>
    </row>
    <row r="185" spans="5:5">
      <c r="E185">
        <v>0.66666666666666663</v>
      </c>
    </row>
    <row r="186" spans="5:5">
      <c r="E186">
        <v>0.4</v>
      </c>
    </row>
    <row r="187" spans="5:5">
      <c r="E187">
        <v>0.66666666666666663</v>
      </c>
    </row>
    <row r="188" spans="5:5">
      <c r="E188">
        <v>1.5</v>
      </c>
    </row>
    <row r="189" spans="5:5">
      <c r="E189">
        <v>0.5</v>
      </c>
    </row>
    <row r="190" spans="5:5">
      <c r="E190">
        <v>0.16666666666666666</v>
      </c>
    </row>
    <row r="191" spans="5:5">
      <c r="E191">
        <v>1</v>
      </c>
    </row>
    <row r="192" spans="5:5">
      <c r="E192">
        <v>1</v>
      </c>
    </row>
    <row r="193" spans="5:5">
      <c r="E193">
        <v>1</v>
      </c>
    </row>
    <row r="194" spans="5:5">
      <c r="E194">
        <v>2.5000000000000001E-2</v>
      </c>
    </row>
    <row r="195" spans="5:5">
      <c r="E195">
        <v>1.3333333333333333</v>
      </c>
    </row>
    <row r="196" spans="5:5">
      <c r="E196">
        <v>1.5</v>
      </c>
    </row>
    <row r="197" spans="5:5">
      <c r="E197">
        <v>1</v>
      </c>
    </row>
    <row r="198" spans="5:5">
      <c r="E198">
        <v>1</v>
      </c>
    </row>
    <row r="199" spans="5:5">
      <c r="E199">
        <v>1</v>
      </c>
    </row>
    <row r="200" spans="5:5">
      <c r="E200">
        <v>1</v>
      </c>
    </row>
    <row r="201" spans="5:5">
      <c r="E201">
        <v>1</v>
      </c>
    </row>
    <row r="202" spans="5:5">
      <c r="E202">
        <v>1</v>
      </c>
    </row>
    <row r="203" spans="5:5">
      <c r="E203">
        <v>0.1</v>
      </c>
    </row>
    <row r="204" spans="5:5">
      <c r="E204">
        <v>0.7</v>
      </c>
    </row>
    <row r="205" spans="5:5">
      <c r="E205">
        <v>1</v>
      </c>
    </row>
    <row r="206" spans="5:5">
      <c r="E206">
        <v>3.3333333333333335</v>
      </c>
    </row>
    <row r="207" spans="5:5">
      <c r="E207">
        <v>31</v>
      </c>
    </row>
    <row r="208" spans="5:5">
      <c r="E208">
        <v>0.27</v>
      </c>
    </row>
    <row r="209" spans="5:5">
      <c r="E209">
        <v>0.55000000000000004</v>
      </c>
    </row>
    <row r="210" spans="5:5">
      <c r="E210">
        <v>0.5</v>
      </c>
    </row>
    <row r="211" spans="5:5">
      <c r="E211">
        <v>0.5</v>
      </c>
    </row>
    <row r="212" spans="5:5">
      <c r="E212">
        <v>0.5</v>
      </c>
    </row>
    <row r="213" spans="5:5">
      <c r="E213">
        <v>0.5</v>
      </c>
    </row>
    <row r="214" spans="5:5">
      <c r="E214">
        <v>2</v>
      </c>
    </row>
    <row r="215" spans="5:5">
      <c r="E215">
        <v>1.2000000000000002</v>
      </c>
    </row>
    <row r="216" spans="5:5">
      <c r="E216">
        <v>2.7766666666666668</v>
      </c>
    </row>
    <row r="217" spans="5:5">
      <c r="E217">
        <v>0.2</v>
      </c>
    </row>
    <row r="218" spans="5:5">
      <c r="E218">
        <v>0.4</v>
      </c>
    </row>
    <row r="219" spans="5:5">
      <c r="E219">
        <v>0.5</v>
      </c>
    </row>
    <row r="220" spans="5:5">
      <c r="E220">
        <v>1.5000000000000002</v>
      </c>
    </row>
    <row r="221" spans="5:5">
      <c r="E221">
        <v>0.7</v>
      </c>
    </row>
    <row r="222" spans="5:5">
      <c r="E222">
        <v>1.8</v>
      </c>
    </row>
    <row r="223" spans="5:5">
      <c r="E223">
        <v>4.5</v>
      </c>
    </row>
    <row r="224" spans="5:5">
      <c r="E224">
        <v>0.49980000000000002</v>
      </c>
    </row>
    <row r="225" spans="5:5">
      <c r="E225">
        <v>3.2701080432172867</v>
      </c>
    </row>
    <row r="226" spans="5:5">
      <c r="E226">
        <v>1.4</v>
      </c>
    </row>
    <row r="227" spans="5:5">
      <c r="E227">
        <v>1.25</v>
      </c>
    </row>
    <row r="228" spans="5:5">
      <c r="E228">
        <v>1</v>
      </c>
    </row>
    <row r="229" spans="5:5">
      <c r="E229">
        <v>1.25</v>
      </c>
    </row>
    <row r="230" spans="5:5">
      <c r="E230">
        <v>1.25</v>
      </c>
    </row>
    <row r="231" spans="5:5">
      <c r="E231">
        <v>1</v>
      </c>
    </row>
    <row r="232" spans="5:5">
      <c r="E232">
        <v>1</v>
      </c>
    </row>
    <row r="233" spans="5:5">
      <c r="E233">
        <v>1</v>
      </c>
    </row>
    <row r="234" spans="5:5">
      <c r="E234">
        <v>1</v>
      </c>
    </row>
    <row r="235" spans="5:5">
      <c r="E235">
        <v>0.2</v>
      </c>
    </row>
    <row r="236" spans="5:5">
      <c r="E236">
        <v>0.75</v>
      </c>
    </row>
    <row r="237" spans="5:5">
      <c r="E237">
        <v>0.75</v>
      </c>
    </row>
    <row r="238" spans="5:5">
      <c r="E238">
        <v>0.75</v>
      </c>
    </row>
    <row r="239" spans="5:5">
      <c r="E239">
        <v>0.63701548061922486</v>
      </c>
    </row>
    <row r="240" spans="5:5">
      <c r="E240">
        <v>0.74972998919956801</v>
      </c>
    </row>
    <row r="241" spans="5:5">
      <c r="E241">
        <v>0.74972998919956801</v>
      </c>
    </row>
    <row r="242" spans="5:5">
      <c r="E242">
        <v>0</v>
      </c>
    </row>
    <row r="243" spans="5:5">
      <c r="E243">
        <v>1</v>
      </c>
    </row>
    <row r="244" spans="5:5">
      <c r="E244">
        <v>0</v>
      </c>
    </row>
  </sheetData>
  <autoFilter ref="E34:E244"/>
  <mergeCells count="1">
    <mergeCell ref="B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73"/>
  <sheetViews>
    <sheetView tabSelected="1" view="pageBreakPreview" topLeftCell="E2" zoomScale="90" zoomScaleNormal="90" zoomScaleSheetLayoutView="90" workbookViewId="0">
      <pane ySplit="5" topLeftCell="A325" activePane="bottomLeft" state="frozenSplit"/>
      <selection activeCell="A2" sqref="A2"/>
      <selection pane="bottomLeft" activeCell="AI2" sqref="AI1:BD1048576"/>
    </sheetView>
  </sheetViews>
  <sheetFormatPr baseColWidth="10" defaultColWidth="11.42578125" defaultRowHeight="15"/>
  <cols>
    <col min="1" max="1" width="11.28515625" customWidth="1"/>
    <col min="2" max="2" width="10.42578125" bestFit="1" customWidth="1"/>
    <col min="3" max="3" width="17.42578125" customWidth="1"/>
    <col min="4" max="4" width="19.140625" customWidth="1"/>
    <col min="5" max="5" width="25.7109375" customWidth="1"/>
    <col min="6" max="8" width="11.42578125" customWidth="1"/>
    <col min="9" max="9" width="8" customWidth="1"/>
    <col min="10" max="10" width="8.7109375" customWidth="1"/>
    <col min="11" max="11" width="14.85546875" customWidth="1"/>
    <col min="12" max="12" width="11.42578125" customWidth="1"/>
    <col min="13" max="14" width="11.42578125" style="1" customWidth="1"/>
    <col min="15" max="15" width="10.140625" style="380" customWidth="1"/>
    <col min="16" max="16" width="10" style="107" customWidth="1"/>
    <col min="17" max="17" width="10.42578125" style="5" customWidth="1"/>
    <col min="18" max="18" width="10.140625" style="34" customWidth="1"/>
    <col min="19" max="19" width="28.85546875" customWidth="1"/>
    <col min="20" max="20" width="10.42578125" style="5" customWidth="1"/>
    <col min="21" max="21" width="9.85546875" style="5" customWidth="1"/>
    <col min="22" max="22" width="31.85546875" customWidth="1"/>
    <col min="23" max="23" width="10.85546875" style="5" customWidth="1"/>
    <col min="24" max="24" width="9.85546875" style="5" customWidth="1"/>
    <col min="25" max="25" width="30.85546875" customWidth="1"/>
    <col min="26" max="26" width="11.42578125" customWidth="1"/>
    <col min="27" max="27" width="10.140625" style="5" customWidth="1"/>
    <col min="28" max="28" width="31.28515625" customWidth="1"/>
    <col min="29" max="29" width="11.42578125" customWidth="1"/>
    <col min="30" max="30" width="9.85546875" style="12" customWidth="1"/>
    <col min="31" max="31" width="29" customWidth="1"/>
    <col min="32" max="32" width="11.42578125" customWidth="1"/>
    <col min="33" max="33" width="11.42578125" style="5" customWidth="1"/>
    <col min="34" max="34" width="29.5703125" customWidth="1"/>
    <col min="35" max="36" width="11.42578125" hidden="1" customWidth="1"/>
    <col min="37" max="37" width="34.28515625" hidden="1" customWidth="1"/>
    <col min="38" max="39" width="11.42578125" hidden="1" customWidth="1"/>
    <col min="40" max="40" width="34.28515625" hidden="1" customWidth="1"/>
    <col min="41" max="42" width="11.42578125" hidden="1" customWidth="1"/>
    <col min="43" max="43" width="34.28515625" hidden="1" customWidth="1"/>
    <col min="44" max="45" width="11.42578125" hidden="1" customWidth="1"/>
    <col min="46" max="46" width="34.28515625" hidden="1" customWidth="1"/>
    <col min="47" max="48" width="11.42578125" hidden="1" customWidth="1"/>
    <col min="49" max="49" width="34.28515625" hidden="1" customWidth="1"/>
    <col min="50" max="50" width="11.42578125" style="107" hidden="1" customWidth="1"/>
    <col min="51" max="51" width="11.42578125" hidden="1" customWidth="1"/>
    <col min="52" max="52" width="34.28515625" hidden="1" customWidth="1"/>
    <col min="53" max="54" width="11.42578125" hidden="1" customWidth="1"/>
    <col min="55" max="55" width="17" hidden="1" customWidth="1"/>
    <col min="56" max="56" width="11.42578125" style="11" hidden="1" customWidth="1"/>
  </cols>
  <sheetData>
    <row r="1" spans="1:56" hidden="1">
      <c r="R1" s="5"/>
      <c r="BD1"/>
    </row>
    <row r="2" spans="1:56" ht="87" customHeight="1">
      <c r="A2" s="746" t="s">
        <v>2894</v>
      </c>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BD2"/>
    </row>
    <row r="3" spans="1:56" ht="23.25" customHeight="1">
      <c r="A3" s="726"/>
      <c r="B3" s="727"/>
      <c r="C3" s="727"/>
      <c r="D3" s="728"/>
      <c r="E3" s="8" t="s">
        <v>455</v>
      </c>
      <c r="F3" s="9"/>
      <c r="G3" s="9"/>
      <c r="H3" s="9"/>
      <c r="I3" s="9"/>
      <c r="J3" s="9"/>
      <c r="K3" s="9"/>
      <c r="L3" s="9"/>
      <c r="M3" s="9"/>
      <c r="N3" s="9"/>
      <c r="O3" s="9"/>
      <c r="P3" s="9"/>
      <c r="Q3" s="33"/>
      <c r="R3" s="33"/>
      <c r="S3" s="9"/>
      <c r="T3" s="33"/>
      <c r="U3" s="33"/>
      <c r="V3" s="9"/>
      <c r="W3" s="33"/>
      <c r="X3" s="33"/>
      <c r="Y3" s="9"/>
      <c r="Z3" s="9"/>
      <c r="AA3" s="33"/>
      <c r="AB3" s="9"/>
      <c r="AC3" s="9"/>
      <c r="AD3" s="257"/>
      <c r="AE3" s="9"/>
      <c r="AF3" s="9"/>
      <c r="AG3" s="33"/>
      <c r="AH3" s="9"/>
      <c r="AI3" s="9"/>
      <c r="AJ3" s="9"/>
      <c r="AK3" s="9"/>
      <c r="AL3" s="9"/>
      <c r="AM3" s="9"/>
      <c r="AN3" s="9"/>
      <c r="AO3" s="9"/>
      <c r="AP3" s="9"/>
      <c r="AQ3" s="9"/>
      <c r="AR3" s="9"/>
      <c r="AS3" s="9"/>
      <c r="AT3" s="9"/>
      <c r="AU3" s="9"/>
      <c r="AV3" s="9"/>
      <c r="AW3" s="9"/>
      <c r="AX3" s="108"/>
      <c r="AY3" s="9"/>
      <c r="AZ3" s="10"/>
    </row>
    <row r="4" spans="1:56" ht="23.25" customHeight="1">
      <c r="A4" s="729"/>
      <c r="B4" s="730"/>
      <c r="C4" s="731"/>
      <c r="D4" s="732"/>
      <c r="E4" s="627" t="s">
        <v>456</v>
      </c>
      <c r="F4" s="641" t="s">
        <v>46</v>
      </c>
      <c r="G4" s="641" t="s">
        <v>45</v>
      </c>
      <c r="H4" s="654" t="s">
        <v>457</v>
      </c>
      <c r="I4" s="641" t="s">
        <v>44</v>
      </c>
      <c r="J4" s="641" t="s">
        <v>458</v>
      </c>
      <c r="K4" s="656" t="s">
        <v>459</v>
      </c>
      <c r="L4" s="656"/>
      <c r="M4" s="626" t="s">
        <v>460</v>
      </c>
      <c r="N4" s="626"/>
      <c r="O4" s="736" t="s">
        <v>461</v>
      </c>
      <c r="P4" s="736" t="s">
        <v>462</v>
      </c>
      <c r="Q4" s="653" t="s">
        <v>463</v>
      </c>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653"/>
    </row>
    <row r="5" spans="1:56" ht="11.25" customHeight="1">
      <c r="A5" s="733"/>
      <c r="B5" s="734"/>
      <c r="C5" s="734"/>
      <c r="D5" s="735"/>
      <c r="E5" s="627"/>
      <c r="F5" s="641"/>
      <c r="G5" s="641"/>
      <c r="H5" s="654"/>
      <c r="I5" s="641"/>
      <c r="J5" s="641"/>
      <c r="K5" s="686" t="s">
        <v>466</v>
      </c>
      <c r="L5" s="686" t="s">
        <v>467</v>
      </c>
      <c r="M5" s="688" t="s">
        <v>61</v>
      </c>
      <c r="N5" s="688" t="s">
        <v>62</v>
      </c>
      <c r="O5" s="736"/>
      <c r="P5" s="736"/>
      <c r="Q5" s="643" t="s">
        <v>48</v>
      </c>
      <c r="R5" s="643"/>
      <c r="S5" s="643"/>
      <c r="T5" s="643" t="s">
        <v>49</v>
      </c>
      <c r="U5" s="643"/>
      <c r="V5" s="643"/>
      <c r="W5" s="643" t="s">
        <v>50</v>
      </c>
      <c r="X5" s="643"/>
      <c r="Y5" s="643"/>
      <c r="Z5" s="643" t="s">
        <v>51</v>
      </c>
      <c r="AA5" s="643"/>
      <c r="AB5" s="643"/>
      <c r="AC5" s="643" t="s">
        <v>52</v>
      </c>
      <c r="AD5" s="643"/>
      <c r="AE5" s="643"/>
      <c r="AF5" s="643" t="s">
        <v>53</v>
      </c>
      <c r="AG5" s="643"/>
      <c r="AH5" s="643"/>
      <c r="AI5" s="755" t="s">
        <v>54</v>
      </c>
      <c r="AJ5" s="756"/>
      <c r="AK5" s="757"/>
      <c r="AL5" s="755" t="s">
        <v>55</v>
      </c>
      <c r="AM5" s="756"/>
      <c r="AN5" s="757"/>
      <c r="AO5" s="755" t="s">
        <v>56</v>
      </c>
      <c r="AP5" s="756"/>
      <c r="AQ5" s="757"/>
      <c r="AR5" s="755" t="s">
        <v>57</v>
      </c>
      <c r="AS5" s="756"/>
      <c r="AT5" s="757"/>
      <c r="AU5" s="755" t="s">
        <v>58</v>
      </c>
      <c r="AV5" s="756"/>
      <c r="AW5" s="757"/>
      <c r="AX5" s="755" t="s">
        <v>59</v>
      </c>
      <c r="AY5" s="756"/>
      <c r="AZ5" s="757"/>
    </row>
    <row r="6" spans="1:56" ht="36.75" customHeight="1" thickBot="1">
      <c r="A6" s="419" t="s">
        <v>12</v>
      </c>
      <c r="B6" s="427" t="s">
        <v>2893</v>
      </c>
      <c r="C6" s="419" t="s">
        <v>464</v>
      </c>
      <c r="D6" s="428" t="s">
        <v>465</v>
      </c>
      <c r="E6" s="628"/>
      <c r="F6" s="642"/>
      <c r="G6" s="642"/>
      <c r="H6" s="655"/>
      <c r="I6" s="642"/>
      <c r="J6" s="642"/>
      <c r="K6" s="687"/>
      <c r="L6" s="687"/>
      <c r="M6" s="689"/>
      <c r="N6" s="689"/>
      <c r="O6" s="737"/>
      <c r="P6" s="737"/>
      <c r="Q6" s="618" t="s">
        <v>63</v>
      </c>
      <c r="R6" s="619" t="s">
        <v>64</v>
      </c>
      <c r="S6" s="619" t="s">
        <v>65</v>
      </c>
      <c r="T6" s="620" t="s">
        <v>63</v>
      </c>
      <c r="U6" s="621" t="s">
        <v>64</v>
      </c>
      <c r="V6" s="621" t="s">
        <v>65</v>
      </c>
      <c r="W6" s="618" t="s">
        <v>63</v>
      </c>
      <c r="X6" s="619" t="s">
        <v>64</v>
      </c>
      <c r="Y6" s="619" t="s">
        <v>65</v>
      </c>
      <c r="Z6" s="620" t="s">
        <v>63</v>
      </c>
      <c r="AA6" s="621" t="s">
        <v>64</v>
      </c>
      <c r="AB6" s="621" t="s">
        <v>65</v>
      </c>
      <c r="AC6" s="618" t="s">
        <v>63</v>
      </c>
      <c r="AD6" s="619" t="s">
        <v>64</v>
      </c>
      <c r="AE6" s="619" t="s">
        <v>65</v>
      </c>
      <c r="AF6" s="620" t="s">
        <v>63</v>
      </c>
      <c r="AG6" s="621" t="s">
        <v>64</v>
      </c>
      <c r="AH6" s="621" t="s">
        <v>65</v>
      </c>
      <c r="AI6" s="17" t="s">
        <v>63</v>
      </c>
      <c r="AJ6" s="14" t="s">
        <v>64</v>
      </c>
      <c r="AK6" s="14" t="s">
        <v>65</v>
      </c>
      <c r="AL6" s="15" t="s">
        <v>63</v>
      </c>
      <c r="AM6" s="16" t="s">
        <v>64</v>
      </c>
      <c r="AN6" s="16" t="s">
        <v>65</v>
      </c>
      <c r="AO6" s="17" t="s">
        <v>63</v>
      </c>
      <c r="AP6" s="14" t="s">
        <v>64</v>
      </c>
      <c r="AQ6" s="14" t="s">
        <v>65</v>
      </c>
      <c r="AR6" s="15" t="s">
        <v>63</v>
      </c>
      <c r="AS6" s="16" t="s">
        <v>64</v>
      </c>
      <c r="AT6" s="16" t="s">
        <v>65</v>
      </c>
      <c r="AU6" s="17" t="s">
        <v>63</v>
      </c>
      <c r="AV6" s="14" t="s">
        <v>64</v>
      </c>
      <c r="AW6" s="14" t="s">
        <v>65</v>
      </c>
      <c r="AX6" s="109" t="s">
        <v>63</v>
      </c>
      <c r="AY6" s="16" t="s">
        <v>64</v>
      </c>
      <c r="AZ6" s="16" t="s">
        <v>65</v>
      </c>
      <c r="BA6" s="18" t="s">
        <v>67</v>
      </c>
      <c r="BB6" s="18" t="s">
        <v>68</v>
      </c>
      <c r="BC6" s="18" t="s">
        <v>69</v>
      </c>
    </row>
    <row r="7" spans="1:56" s="2" customFormat="1" ht="37.5" customHeight="1">
      <c r="A7" s="723" t="s">
        <v>13</v>
      </c>
      <c r="B7" s="690">
        <v>76.900000000000006</v>
      </c>
      <c r="C7" s="705" t="s">
        <v>71</v>
      </c>
      <c r="D7" s="705" t="s">
        <v>470</v>
      </c>
      <c r="E7" s="429" t="s">
        <v>471</v>
      </c>
      <c r="F7" s="429" t="s">
        <v>472</v>
      </c>
      <c r="G7" s="429">
        <v>0.25</v>
      </c>
      <c r="H7" s="429" t="s">
        <v>75</v>
      </c>
      <c r="I7" s="429" t="s">
        <v>73</v>
      </c>
      <c r="J7" s="429" t="s">
        <v>473</v>
      </c>
      <c r="K7" s="429" t="s">
        <v>474</v>
      </c>
      <c r="L7" s="429" t="s">
        <v>475</v>
      </c>
      <c r="M7" s="430">
        <v>44197</v>
      </c>
      <c r="N7" s="430">
        <v>44561</v>
      </c>
      <c r="O7" s="429">
        <f>+R7+U7+X7+AA7+AD7+AG7+AJ7+AM7+AP7+AS7+AV7+AY7</f>
        <v>35</v>
      </c>
      <c r="P7" s="429">
        <v>72</v>
      </c>
      <c r="Q7" s="429">
        <v>6</v>
      </c>
      <c r="R7" s="429">
        <v>4</v>
      </c>
      <c r="S7" s="432" t="s">
        <v>476</v>
      </c>
      <c r="T7" s="429">
        <v>6</v>
      </c>
      <c r="U7" s="429">
        <v>7</v>
      </c>
      <c r="V7" s="432" t="s">
        <v>476</v>
      </c>
      <c r="W7" s="429">
        <v>6</v>
      </c>
      <c r="X7" s="429">
        <v>7</v>
      </c>
      <c r="Y7" s="432" t="s">
        <v>476</v>
      </c>
      <c r="Z7" s="429">
        <v>6</v>
      </c>
      <c r="AA7" s="429">
        <v>3</v>
      </c>
      <c r="AB7" s="432" t="s">
        <v>476</v>
      </c>
      <c r="AC7" s="429">
        <v>6</v>
      </c>
      <c r="AD7" s="429">
        <v>8</v>
      </c>
      <c r="AE7" s="432" t="s">
        <v>476</v>
      </c>
      <c r="AF7" s="429">
        <v>6</v>
      </c>
      <c r="AG7" s="429">
        <v>6</v>
      </c>
      <c r="AH7" s="429" t="s">
        <v>476</v>
      </c>
      <c r="AI7" s="409">
        <v>6</v>
      </c>
      <c r="AJ7" s="409"/>
      <c r="AK7" s="409"/>
      <c r="AL7" s="409">
        <v>6</v>
      </c>
      <c r="AM7" s="409"/>
      <c r="AN7" s="409"/>
      <c r="AO7" s="409">
        <v>6</v>
      </c>
      <c r="AP7" s="409"/>
      <c r="AQ7" s="409"/>
      <c r="AR7" s="409">
        <v>6</v>
      </c>
      <c r="AS7" s="409"/>
      <c r="AT7" s="409"/>
      <c r="AU7" s="409">
        <v>6</v>
      </c>
      <c r="AV7" s="409"/>
      <c r="AW7" s="409"/>
      <c r="AX7" s="175">
        <v>6</v>
      </c>
      <c r="AY7" s="412"/>
      <c r="AZ7" s="412"/>
      <c r="BA7" s="413">
        <f>+Q7+T7+W7+Z7+AC7+AF7</f>
        <v>36</v>
      </c>
      <c r="BB7" s="413">
        <f>+R7+U7+X7+AA7+AD7+AG7</f>
        <v>35</v>
      </c>
      <c r="BC7" s="46">
        <f>+IF(BA7=0,+IF(BB7=0,"No programación, No avance",+IF(BB7&gt;0,+IF(BA7=0,BB7/P7))),BB7/BA7)</f>
        <v>0.97222222222222221</v>
      </c>
      <c r="BD7" s="2">
        <f>+AVERAGE(BC7:BC16)</f>
        <v>1.9960317460317458</v>
      </c>
    </row>
    <row r="8" spans="1:56" s="2" customFormat="1" ht="72">
      <c r="A8" s="724"/>
      <c r="B8" s="691"/>
      <c r="C8" s="706"/>
      <c r="D8" s="706"/>
      <c r="E8" s="433" t="s">
        <v>478</v>
      </c>
      <c r="F8" s="433" t="s">
        <v>472</v>
      </c>
      <c r="G8" s="433">
        <v>0.25</v>
      </c>
      <c r="H8" s="433" t="s">
        <v>75</v>
      </c>
      <c r="I8" s="433" t="s">
        <v>73</v>
      </c>
      <c r="J8" s="433" t="s">
        <v>473</v>
      </c>
      <c r="K8" s="433" t="s">
        <v>479</v>
      </c>
      <c r="L8" s="433" t="s">
        <v>475</v>
      </c>
      <c r="M8" s="434">
        <v>44197</v>
      </c>
      <c r="N8" s="434">
        <v>44561</v>
      </c>
      <c r="O8" s="433">
        <f>+R8+U8+X8+AA8+AD8+AG8+AJ8+AM8+AP8+AS8+AV8+AY8</f>
        <v>23</v>
      </c>
      <c r="P8" s="433">
        <v>12</v>
      </c>
      <c r="Q8" s="433">
        <v>1</v>
      </c>
      <c r="R8" s="433">
        <v>1</v>
      </c>
      <c r="S8" s="436" t="s">
        <v>476</v>
      </c>
      <c r="T8" s="433">
        <v>1</v>
      </c>
      <c r="U8" s="433">
        <v>1</v>
      </c>
      <c r="V8" s="436" t="s">
        <v>476</v>
      </c>
      <c r="W8" s="433">
        <v>1</v>
      </c>
      <c r="X8" s="433">
        <v>5</v>
      </c>
      <c r="Y8" s="436" t="s">
        <v>476</v>
      </c>
      <c r="Z8" s="433">
        <v>1</v>
      </c>
      <c r="AA8" s="433">
        <v>3</v>
      </c>
      <c r="AB8" s="436" t="s">
        <v>476</v>
      </c>
      <c r="AC8" s="433">
        <v>1</v>
      </c>
      <c r="AD8" s="433">
        <v>10</v>
      </c>
      <c r="AE8" s="436" t="s">
        <v>476</v>
      </c>
      <c r="AF8" s="433">
        <v>1</v>
      </c>
      <c r="AG8" s="433">
        <v>3</v>
      </c>
      <c r="AH8" s="433" t="s">
        <v>476</v>
      </c>
      <c r="AI8" s="410">
        <v>1</v>
      </c>
      <c r="AJ8" s="410"/>
      <c r="AK8" s="410"/>
      <c r="AL8" s="410">
        <v>1</v>
      </c>
      <c r="AM8" s="410"/>
      <c r="AN8" s="410"/>
      <c r="AO8" s="410">
        <v>1</v>
      </c>
      <c r="AP8" s="410"/>
      <c r="AQ8" s="410"/>
      <c r="AR8" s="410">
        <v>1</v>
      </c>
      <c r="AS8" s="410"/>
      <c r="AT8" s="410"/>
      <c r="AU8" s="410">
        <v>1</v>
      </c>
      <c r="AV8" s="410"/>
      <c r="AW8" s="410"/>
      <c r="AX8" s="137">
        <v>1</v>
      </c>
      <c r="AY8" s="413"/>
      <c r="AZ8" s="413"/>
      <c r="BA8" s="413">
        <f t="shared" ref="BA8:BA71" si="0">+Q8+T8+W8+Z8+AC8+AF8</f>
        <v>6</v>
      </c>
      <c r="BB8" s="413">
        <f t="shared" ref="BB8:BB71" si="1">+R8+U8+X8+AA8+AD8+AG8</f>
        <v>23</v>
      </c>
      <c r="BC8" s="48">
        <f>+IF(BA8=0,+IF(BB8=0,"No programación, No avance",+IF(BB8&gt;0,+IF(BA8=0,BB8/P8))),BB8/BA8)</f>
        <v>3.8333333333333335</v>
      </c>
    </row>
    <row r="9" spans="1:56" s="2" customFormat="1" ht="60">
      <c r="A9" s="724"/>
      <c r="B9" s="691"/>
      <c r="C9" s="706"/>
      <c r="D9" s="706"/>
      <c r="E9" s="433" t="s">
        <v>481</v>
      </c>
      <c r="F9" s="433" t="s">
        <v>472</v>
      </c>
      <c r="G9" s="433">
        <v>0.25</v>
      </c>
      <c r="H9" s="433" t="s">
        <v>75</v>
      </c>
      <c r="I9" s="433" t="s">
        <v>73</v>
      </c>
      <c r="J9" s="433" t="s">
        <v>482</v>
      </c>
      <c r="K9" s="433" t="s">
        <v>483</v>
      </c>
      <c r="L9" s="433" t="s">
        <v>475</v>
      </c>
      <c r="M9" s="434">
        <v>44197</v>
      </c>
      <c r="N9" s="434">
        <v>44561</v>
      </c>
      <c r="O9" s="433">
        <f>+R9+U9+X9+AA9+AD9+AG9+AJ9+AM9+AP9+AS9+AV9+AY9</f>
        <v>38</v>
      </c>
      <c r="P9" s="433">
        <v>12</v>
      </c>
      <c r="Q9" s="433">
        <v>1</v>
      </c>
      <c r="R9" s="433">
        <v>1</v>
      </c>
      <c r="S9" s="436" t="s">
        <v>484</v>
      </c>
      <c r="T9" s="433">
        <v>1</v>
      </c>
      <c r="U9" s="433">
        <v>1</v>
      </c>
      <c r="V9" s="436" t="s">
        <v>484</v>
      </c>
      <c r="W9" s="433">
        <v>1</v>
      </c>
      <c r="X9" s="433">
        <v>11</v>
      </c>
      <c r="Y9" s="436" t="s">
        <v>484</v>
      </c>
      <c r="Z9" s="433">
        <v>1</v>
      </c>
      <c r="AA9" s="433">
        <v>10</v>
      </c>
      <c r="AB9" s="436" t="s">
        <v>484</v>
      </c>
      <c r="AC9" s="433">
        <v>1</v>
      </c>
      <c r="AD9" s="433">
        <v>11</v>
      </c>
      <c r="AE9" s="436" t="s">
        <v>484</v>
      </c>
      <c r="AF9" s="433">
        <v>1</v>
      </c>
      <c r="AG9" s="433">
        <v>4</v>
      </c>
      <c r="AH9" s="433" t="s">
        <v>484</v>
      </c>
      <c r="AI9" s="410">
        <v>1</v>
      </c>
      <c r="AJ9" s="410"/>
      <c r="AK9" s="410"/>
      <c r="AL9" s="410">
        <v>1</v>
      </c>
      <c r="AM9" s="410"/>
      <c r="AN9" s="410"/>
      <c r="AO9" s="410">
        <v>1</v>
      </c>
      <c r="AP9" s="410"/>
      <c r="AQ9" s="410"/>
      <c r="AR9" s="410">
        <v>1</v>
      </c>
      <c r="AS9" s="410"/>
      <c r="AT9" s="410"/>
      <c r="AU9" s="410">
        <v>1</v>
      </c>
      <c r="AV9" s="410"/>
      <c r="AW9" s="410"/>
      <c r="AX9" s="137">
        <v>1</v>
      </c>
      <c r="AY9" s="413"/>
      <c r="AZ9" s="413"/>
      <c r="BA9" s="413">
        <f t="shared" si="0"/>
        <v>6</v>
      </c>
      <c r="BB9" s="413">
        <f t="shared" si="1"/>
        <v>38</v>
      </c>
      <c r="BC9" s="48">
        <f>+IF(BA9=0,+IF(BB9=0,"No programación, No avance",+IF(BB9&gt;0,+IF(BA9=0,BB9/P9))),BB9/BA9)</f>
        <v>6.333333333333333</v>
      </c>
    </row>
    <row r="10" spans="1:56" s="2" customFormat="1" ht="69" customHeight="1">
      <c r="A10" s="724"/>
      <c r="B10" s="691"/>
      <c r="C10" s="706"/>
      <c r="D10" s="706"/>
      <c r="E10" s="433" t="s">
        <v>486</v>
      </c>
      <c r="F10" s="433" t="s">
        <v>472</v>
      </c>
      <c r="G10" s="433">
        <v>0.25</v>
      </c>
      <c r="H10" s="433" t="s">
        <v>487</v>
      </c>
      <c r="I10" s="433" t="s">
        <v>73</v>
      </c>
      <c r="J10" s="433" t="s">
        <v>60</v>
      </c>
      <c r="K10" s="433" t="s">
        <v>488</v>
      </c>
      <c r="L10" s="433" t="s">
        <v>475</v>
      </c>
      <c r="M10" s="434">
        <v>44197</v>
      </c>
      <c r="N10" s="434">
        <v>44561</v>
      </c>
      <c r="O10" s="433">
        <f>+R10+U10+X10+AA10+AD10+AG10+AJ10+AM10+AP10+AS10+AV10+AY10</f>
        <v>0</v>
      </c>
      <c r="P10" s="433">
        <v>4</v>
      </c>
      <c r="Q10" s="433">
        <v>0</v>
      </c>
      <c r="R10" s="433">
        <v>0</v>
      </c>
      <c r="S10" s="436" t="s">
        <v>489</v>
      </c>
      <c r="T10" s="433">
        <v>0</v>
      </c>
      <c r="U10" s="433">
        <v>0</v>
      </c>
      <c r="V10" s="436" t="s">
        <v>489</v>
      </c>
      <c r="W10" s="433">
        <v>0</v>
      </c>
      <c r="X10" s="433">
        <v>0</v>
      </c>
      <c r="Y10" s="436" t="s">
        <v>143</v>
      </c>
      <c r="Z10" s="433">
        <v>0</v>
      </c>
      <c r="AA10" s="433">
        <v>0</v>
      </c>
      <c r="AB10" s="436" t="s">
        <v>143</v>
      </c>
      <c r="AC10" s="433">
        <v>4</v>
      </c>
      <c r="AD10" s="433">
        <v>0</v>
      </c>
      <c r="AE10" s="436" t="s">
        <v>143</v>
      </c>
      <c r="AF10" s="433">
        <v>0</v>
      </c>
      <c r="AG10" s="433"/>
      <c r="AH10" s="433"/>
      <c r="AI10" s="410">
        <v>0</v>
      </c>
      <c r="AJ10" s="410"/>
      <c r="AK10" s="410"/>
      <c r="AL10" s="410">
        <v>0</v>
      </c>
      <c r="AM10" s="410"/>
      <c r="AN10" s="410"/>
      <c r="AO10" s="410">
        <v>0</v>
      </c>
      <c r="AP10" s="410"/>
      <c r="AQ10" s="410"/>
      <c r="AR10" s="410">
        <v>0</v>
      </c>
      <c r="AS10" s="410"/>
      <c r="AT10" s="410"/>
      <c r="AU10" s="410">
        <v>0</v>
      </c>
      <c r="AV10" s="410"/>
      <c r="AW10" s="410"/>
      <c r="AX10" s="137">
        <v>0</v>
      </c>
      <c r="AY10" s="413"/>
      <c r="AZ10" s="413"/>
      <c r="BA10" s="413">
        <f t="shared" si="0"/>
        <v>4</v>
      </c>
      <c r="BB10" s="413">
        <f t="shared" si="1"/>
        <v>0</v>
      </c>
      <c r="BC10" s="48">
        <f>+IF(BA10=0,+IF(BB10=0,"No programación, No avance",+IF(BB10&gt;0,+IF(BA10=0,BB10/P10))),BB10/BA10)</f>
        <v>0</v>
      </c>
      <c r="BD10" s="47"/>
    </row>
    <row r="11" spans="1:56" s="2" customFormat="1" ht="60" customHeight="1">
      <c r="A11" s="724"/>
      <c r="B11" s="691"/>
      <c r="C11" s="706" t="s">
        <v>77</v>
      </c>
      <c r="D11" s="706" t="s">
        <v>491</v>
      </c>
      <c r="E11" s="433" t="s">
        <v>492</v>
      </c>
      <c r="F11" s="433" t="s">
        <v>472</v>
      </c>
      <c r="G11" s="433">
        <v>0.5</v>
      </c>
      <c r="H11" s="433" t="s">
        <v>80</v>
      </c>
      <c r="I11" s="433" t="s">
        <v>73</v>
      </c>
      <c r="J11" s="433" t="s">
        <v>493</v>
      </c>
      <c r="K11" s="433" t="s">
        <v>494</v>
      </c>
      <c r="L11" s="433" t="s">
        <v>475</v>
      </c>
      <c r="M11" s="434">
        <v>44197</v>
      </c>
      <c r="N11" s="434">
        <v>44561</v>
      </c>
      <c r="O11" s="433">
        <f>+R11+U11+X11+AA11+AD11+AG11+AJ11+AM11+AP11+AS11+AV11+AY11</f>
        <v>1</v>
      </c>
      <c r="P11" s="433">
        <v>12</v>
      </c>
      <c r="Q11" s="433">
        <v>1</v>
      </c>
      <c r="R11" s="433">
        <v>1</v>
      </c>
      <c r="S11" s="436" t="s">
        <v>495</v>
      </c>
      <c r="T11" s="433">
        <v>1</v>
      </c>
      <c r="U11" s="433">
        <v>0</v>
      </c>
      <c r="V11" s="436" t="s">
        <v>496</v>
      </c>
      <c r="W11" s="433">
        <v>1</v>
      </c>
      <c r="X11" s="433">
        <v>0</v>
      </c>
      <c r="Y11" s="436" t="s">
        <v>497</v>
      </c>
      <c r="Z11" s="433">
        <v>1</v>
      </c>
      <c r="AA11" s="433">
        <v>0</v>
      </c>
      <c r="AB11" s="436" t="s">
        <v>498</v>
      </c>
      <c r="AC11" s="433">
        <v>1</v>
      </c>
      <c r="AD11" s="433">
        <v>0</v>
      </c>
      <c r="AE11" s="436" t="s">
        <v>499</v>
      </c>
      <c r="AF11" s="433">
        <v>1</v>
      </c>
      <c r="AG11" s="433"/>
      <c r="AH11" s="433"/>
      <c r="AI11" s="410">
        <v>1</v>
      </c>
      <c r="AJ11" s="410"/>
      <c r="AK11" s="410"/>
      <c r="AL11" s="410">
        <v>1</v>
      </c>
      <c r="AM11" s="410"/>
      <c r="AN11" s="410"/>
      <c r="AO11" s="410">
        <v>1</v>
      </c>
      <c r="AP11" s="410"/>
      <c r="AQ11" s="410"/>
      <c r="AR11" s="410">
        <v>1</v>
      </c>
      <c r="AS11" s="410"/>
      <c r="AT11" s="410"/>
      <c r="AU11" s="410">
        <v>1</v>
      </c>
      <c r="AV11" s="410"/>
      <c r="AW11" s="410"/>
      <c r="AX11" s="137">
        <v>1</v>
      </c>
      <c r="AY11" s="413"/>
      <c r="AZ11" s="413"/>
      <c r="BA11" s="413">
        <f t="shared" si="0"/>
        <v>6</v>
      </c>
      <c r="BB11" s="413">
        <f t="shared" si="1"/>
        <v>1</v>
      </c>
      <c r="BC11" s="48">
        <f>+IF(BA11=0,+IF(BB11=0,"No programación, No avance",+IF(BB11&gt;0,+IF(BA11=0,BB11/P11))),BB11/BA11)</f>
        <v>0.16666666666666666</v>
      </c>
    </row>
    <row r="12" spans="1:56" s="2" customFormat="1" ht="37.5" customHeight="1">
      <c r="A12" s="724"/>
      <c r="B12" s="691"/>
      <c r="C12" s="706"/>
      <c r="D12" s="706"/>
      <c r="E12" s="433" t="s">
        <v>501</v>
      </c>
      <c r="F12" s="433" t="s">
        <v>472</v>
      </c>
      <c r="G12" s="433">
        <v>0.25</v>
      </c>
      <c r="H12" s="433" t="s">
        <v>80</v>
      </c>
      <c r="I12" s="433" t="s">
        <v>73</v>
      </c>
      <c r="J12" s="433" t="s">
        <v>493</v>
      </c>
      <c r="K12" s="433" t="s">
        <v>494</v>
      </c>
      <c r="L12" s="433" t="s">
        <v>475</v>
      </c>
      <c r="M12" s="434">
        <v>44197</v>
      </c>
      <c r="N12" s="434">
        <v>44561</v>
      </c>
      <c r="O12" s="433">
        <f>+R12+U12+X12+AA12+AD12+AG12+AJ12+AM12+AP12+AS12+AV12+AY12</f>
        <v>13</v>
      </c>
      <c r="P12" s="433">
        <v>12</v>
      </c>
      <c r="Q12" s="433">
        <v>0</v>
      </c>
      <c r="R12" s="433">
        <v>1</v>
      </c>
      <c r="S12" s="436" t="s">
        <v>502</v>
      </c>
      <c r="T12" s="433">
        <v>0</v>
      </c>
      <c r="U12" s="433">
        <v>4</v>
      </c>
      <c r="V12" s="436" t="s">
        <v>503</v>
      </c>
      <c r="W12" s="433">
        <v>3</v>
      </c>
      <c r="X12" s="433">
        <v>7</v>
      </c>
      <c r="Y12" s="436" t="s">
        <v>504</v>
      </c>
      <c r="Z12" s="433">
        <v>0</v>
      </c>
      <c r="AA12" s="433">
        <v>1</v>
      </c>
      <c r="AB12" s="436" t="s">
        <v>505</v>
      </c>
      <c r="AC12" s="433">
        <v>0</v>
      </c>
      <c r="AD12" s="433">
        <v>0</v>
      </c>
      <c r="AE12" s="436" t="s">
        <v>506</v>
      </c>
      <c r="AF12" s="433">
        <v>3</v>
      </c>
      <c r="AG12" s="433"/>
      <c r="AH12" s="433"/>
      <c r="AI12" s="410">
        <v>0</v>
      </c>
      <c r="AJ12" s="410"/>
      <c r="AK12" s="410"/>
      <c r="AL12" s="410">
        <v>0</v>
      </c>
      <c r="AM12" s="410"/>
      <c r="AN12" s="410"/>
      <c r="AO12" s="410">
        <v>3</v>
      </c>
      <c r="AP12" s="410"/>
      <c r="AQ12" s="410"/>
      <c r="AR12" s="410">
        <v>0</v>
      </c>
      <c r="AS12" s="410"/>
      <c r="AT12" s="410"/>
      <c r="AU12" s="410">
        <v>0</v>
      </c>
      <c r="AV12" s="410"/>
      <c r="AW12" s="410"/>
      <c r="AX12" s="137">
        <v>3</v>
      </c>
      <c r="AY12" s="413"/>
      <c r="AZ12" s="413"/>
      <c r="BA12" s="413">
        <f t="shared" si="0"/>
        <v>6</v>
      </c>
      <c r="BB12" s="413">
        <f t="shared" si="1"/>
        <v>13</v>
      </c>
      <c r="BC12" s="48">
        <f>+IF(BA12=0,+IF(BB12=0,"No programación, No avance",+IF(BB12&gt;0,+IF(BA12=0,BB12/P12))),BB12/BA12)</f>
        <v>2.1666666666666665</v>
      </c>
    </row>
    <row r="13" spans="1:56" s="2" customFormat="1" ht="84">
      <c r="A13" s="724"/>
      <c r="B13" s="691"/>
      <c r="C13" s="706"/>
      <c r="D13" s="706"/>
      <c r="E13" s="433" t="s">
        <v>508</v>
      </c>
      <c r="F13" s="433" t="s">
        <v>472</v>
      </c>
      <c r="G13" s="433">
        <v>0.25</v>
      </c>
      <c r="H13" s="433" t="s">
        <v>80</v>
      </c>
      <c r="I13" s="433" t="s">
        <v>73</v>
      </c>
      <c r="J13" s="433" t="s">
        <v>493</v>
      </c>
      <c r="K13" s="433" t="s">
        <v>494</v>
      </c>
      <c r="L13" s="433" t="s">
        <v>475</v>
      </c>
      <c r="M13" s="434">
        <v>44197</v>
      </c>
      <c r="N13" s="434">
        <v>44561</v>
      </c>
      <c r="O13" s="433">
        <f>+R13+U13+X13+AA13+AD13+AG13+AJ13+AM13+AP13+AS13+AV13+AY13</f>
        <v>1</v>
      </c>
      <c r="P13" s="433">
        <v>4</v>
      </c>
      <c r="Q13" s="433">
        <v>0</v>
      </c>
      <c r="R13" s="433">
        <v>0</v>
      </c>
      <c r="S13" s="436" t="s">
        <v>509</v>
      </c>
      <c r="T13" s="433">
        <v>0</v>
      </c>
      <c r="U13" s="433">
        <v>0</v>
      </c>
      <c r="V13" s="436" t="s">
        <v>510</v>
      </c>
      <c r="W13" s="433">
        <v>0</v>
      </c>
      <c r="X13" s="433">
        <v>0</v>
      </c>
      <c r="Y13" s="436" t="s">
        <v>511</v>
      </c>
      <c r="Z13" s="433">
        <v>0</v>
      </c>
      <c r="AA13" s="433">
        <v>1</v>
      </c>
      <c r="AB13" s="436" t="s">
        <v>512</v>
      </c>
      <c r="AC13" s="433">
        <v>0</v>
      </c>
      <c r="AD13" s="433">
        <v>0</v>
      </c>
      <c r="AE13" s="436" t="s">
        <v>513</v>
      </c>
      <c r="AF13" s="433">
        <v>2</v>
      </c>
      <c r="AG13" s="433"/>
      <c r="AH13" s="433"/>
      <c r="AI13" s="410">
        <v>0</v>
      </c>
      <c r="AJ13" s="410"/>
      <c r="AK13" s="410"/>
      <c r="AL13" s="410">
        <v>0</v>
      </c>
      <c r="AM13" s="410"/>
      <c r="AN13" s="410"/>
      <c r="AO13" s="410">
        <v>0</v>
      </c>
      <c r="AP13" s="410"/>
      <c r="AQ13" s="410"/>
      <c r="AR13" s="410">
        <v>0</v>
      </c>
      <c r="AS13" s="410"/>
      <c r="AT13" s="410"/>
      <c r="AU13" s="410">
        <v>0</v>
      </c>
      <c r="AV13" s="410"/>
      <c r="AW13" s="410"/>
      <c r="AX13" s="137">
        <v>2</v>
      </c>
      <c r="AY13" s="413"/>
      <c r="AZ13" s="413"/>
      <c r="BA13" s="413">
        <f t="shared" si="0"/>
        <v>2</v>
      </c>
      <c r="BB13" s="413">
        <f t="shared" si="1"/>
        <v>1</v>
      </c>
      <c r="BC13" s="48">
        <f>+IF(BA13=0,+IF(BB13=0,"No programación, No avance",+IF(BB13&gt;0,+IF(BA13=0,BB13/P13))),BB13/BA13)</f>
        <v>0.5</v>
      </c>
      <c r="BD13" s="47"/>
    </row>
    <row r="14" spans="1:56" s="2" customFormat="1" ht="48" customHeight="1">
      <c r="A14" s="724"/>
      <c r="B14" s="691"/>
      <c r="C14" s="706" t="s">
        <v>82</v>
      </c>
      <c r="D14" s="706" t="s">
        <v>515</v>
      </c>
      <c r="E14" s="433" t="s">
        <v>516</v>
      </c>
      <c r="F14" s="433" t="s">
        <v>472</v>
      </c>
      <c r="G14" s="433">
        <v>0.4</v>
      </c>
      <c r="H14" s="433" t="s">
        <v>517</v>
      </c>
      <c r="I14" s="433" t="s">
        <v>79</v>
      </c>
      <c r="J14" s="433" t="s">
        <v>518</v>
      </c>
      <c r="K14" s="433" t="s">
        <v>519</v>
      </c>
      <c r="L14" s="433" t="s">
        <v>475</v>
      </c>
      <c r="M14" s="434">
        <v>44197</v>
      </c>
      <c r="N14" s="434">
        <v>44561</v>
      </c>
      <c r="O14" s="433">
        <f>+R14+U14+X14+AA14+AD14+AG14+AJ14+AM14+AP14+AS14+AV14+AY14</f>
        <v>0</v>
      </c>
      <c r="P14" s="433">
        <v>0.25</v>
      </c>
      <c r="Q14" s="433">
        <v>0</v>
      </c>
      <c r="R14" s="437">
        <v>0</v>
      </c>
      <c r="S14" s="436" t="s">
        <v>520</v>
      </c>
      <c r="T14" s="433">
        <v>0</v>
      </c>
      <c r="U14" s="438">
        <v>0</v>
      </c>
      <c r="V14" s="436" t="s">
        <v>520</v>
      </c>
      <c r="W14" s="433">
        <v>0</v>
      </c>
      <c r="X14" s="438">
        <v>0</v>
      </c>
      <c r="Y14" s="436" t="s">
        <v>521</v>
      </c>
      <c r="Z14" s="433">
        <v>0</v>
      </c>
      <c r="AA14" s="438">
        <v>0</v>
      </c>
      <c r="AB14" s="436" t="s">
        <v>521</v>
      </c>
      <c r="AC14" s="433">
        <v>0</v>
      </c>
      <c r="AD14" s="439">
        <v>0</v>
      </c>
      <c r="AE14" s="436" t="s">
        <v>521</v>
      </c>
      <c r="AF14" s="433">
        <v>0</v>
      </c>
      <c r="AG14" s="433">
        <v>0</v>
      </c>
      <c r="AH14" s="433" t="s">
        <v>520</v>
      </c>
      <c r="AI14" s="410">
        <v>0</v>
      </c>
      <c r="AJ14" s="410"/>
      <c r="AK14" s="410"/>
      <c r="AL14" s="410">
        <v>0</v>
      </c>
      <c r="AM14" s="410"/>
      <c r="AN14" s="410"/>
      <c r="AO14" s="410">
        <v>0</v>
      </c>
      <c r="AP14" s="410"/>
      <c r="AQ14" s="410"/>
      <c r="AR14" s="410">
        <v>0</v>
      </c>
      <c r="AS14" s="410"/>
      <c r="AT14" s="410"/>
      <c r="AU14" s="410">
        <v>0</v>
      </c>
      <c r="AV14" s="410"/>
      <c r="AW14" s="410"/>
      <c r="AX14" s="173">
        <v>0.25</v>
      </c>
      <c r="AY14" s="413"/>
      <c r="AZ14" s="413"/>
      <c r="BA14" s="413">
        <f t="shared" si="0"/>
        <v>0</v>
      </c>
      <c r="BB14" s="413">
        <f t="shared" si="1"/>
        <v>0</v>
      </c>
      <c r="BC14" s="48" t="str">
        <f>+IF(BA14=0,+IF(BB14=0,"No programación, No avance",+IF(BB14&gt;0,+IF(BA14=0,BB14/P14))),BB14/BA14)</f>
        <v>No programación, No avance</v>
      </c>
    </row>
    <row r="15" spans="1:56" s="2" customFormat="1" ht="60">
      <c r="A15" s="724"/>
      <c r="B15" s="691"/>
      <c r="C15" s="706"/>
      <c r="D15" s="706"/>
      <c r="E15" s="433" t="s">
        <v>523</v>
      </c>
      <c r="F15" s="433" t="s">
        <v>472</v>
      </c>
      <c r="G15" s="433">
        <v>0.4</v>
      </c>
      <c r="H15" s="433" t="s">
        <v>517</v>
      </c>
      <c r="I15" s="433" t="s">
        <v>79</v>
      </c>
      <c r="J15" s="433" t="s">
        <v>518</v>
      </c>
      <c r="K15" s="433" t="s">
        <v>524</v>
      </c>
      <c r="L15" s="433" t="s">
        <v>475</v>
      </c>
      <c r="M15" s="434">
        <v>44197</v>
      </c>
      <c r="N15" s="434">
        <v>44561</v>
      </c>
      <c r="O15" s="433">
        <f>+R15+U15+X15+AA15+AD15+AG15+AJ15+AM15+AP15+AS15+AV15+AY15</f>
        <v>0</v>
      </c>
      <c r="P15" s="433">
        <v>0.25</v>
      </c>
      <c r="Q15" s="433">
        <v>0</v>
      </c>
      <c r="R15" s="437">
        <v>0</v>
      </c>
      <c r="S15" s="436" t="s">
        <v>520</v>
      </c>
      <c r="T15" s="433">
        <v>0</v>
      </c>
      <c r="U15" s="438">
        <v>0</v>
      </c>
      <c r="V15" s="436" t="s">
        <v>520</v>
      </c>
      <c r="W15" s="433">
        <v>0</v>
      </c>
      <c r="X15" s="438">
        <v>0</v>
      </c>
      <c r="Y15" s="436" t="s">
        <v>521</v>
      </c>
      <c r="Z15" s="433">
        <v>0</v>
      </c>
      <c r="AA15" s="438">
        <v>0</v>
      </c>
      <c r="AB15" s="436" t="s">
        <v>521</v>
      </c>
      <c r="AC15" s="433">
        <v>0</v>
      </c>
      <c r="AD15" s="439">
        <v>0</v>
      </c>
      <c r="AE15" s="436" t="s">
        <v>521</v>
      </c>
      <c r="AF15" s="433">
        <v>0</v>
      </c>
      <c r="AG15" s="433">
        <v>0</v>
      </c>
      <c r="AH15" s="433" t="s">
        <v>520</v>
      </c>
      <c r="AI15" s="410">
        <v>0</v>
      </c>
      <c r="AJ15" s="410"/>
      <c r="AK15" s="410"/>
      <c r="AL15" s="410">
        <v>0</v>
      </c>
      <c r="AM15" s="410"/>
      <c r="AN15" s="410"/>
      <c r="AO15" s="410">
        <v>0</v>
      </c>
      <c r="AP15" s="410"/>
      <c r="AQ15" s="410"/>
      <c r="AR15" s="410">
        <v>0</v>
      </c>
      <c r="AS15" s="410"/>
      <c r="AT15" s="410"/>
      <c r="AU15" s="410">
        <v>0</v>
      </c>
      <c r="AV15" s="410"/>
      <c r="AW15" s="410"/>
      <c r="AX15" s="173">
        <v>0.25</v>
      </c>
      <c r="AY15" s="413"/>
      <c r="AZ15" s="413"/>
      <c r="BA15" s="413">
        <f t="shared" si="0"/>
        <v>0</v>
      </c>
      <c r="BB15" s="413">
        <f t="shared" si="1"/>
        <v>0</v>
      </c>
      <c r="BC15" s="48" t="str">
        <f>+IF(BA15=0,+IF(BB15=0,"No programación, No avance",+IF(BB15&gt;0,+IF(BA15=0,BB15/P15))),BB15/BA15)</f>
        <v>No programación, No avance</v>
      </c>
    </row>
    <row r="16" spans="1:56" s="2" customFormat="1" ht="84.75" thickBot="1">
      <c r="A16" s="725"/>
      <c r="B16" s="692"/>
      <c r="C16" s="707"/>
      <c r="D16" s="707"/>
      <c r="E16" s="440" t="s">
        <v>526</v>
      </c>
      <c r="F16" s="440" t="s">
        <v>472</v>
      </c>
      <c r="G16" s="440">
        <v>0.2</v>
      </c>
      <c r="H16" s="440" t="s">
        <v>517</v>
      </c>
      <c r="I16" s="440" t="s">
        <v>79</v>
      </c>
      <c r="J16" s="440" t="s">
        <v>518</v>
      </c>
      <c r="K16" s="440" t="s">
        <v>527</v>
      </c>
      <c r="L16" s="440" t="s">
        <v>475</v>
      </c>
      <c r="M16" s="441">
        <v>44197</v>
      </c>
      <c r="N16" s="441">
        <v>44561</v>
      </c>
      <c r="O16" s="440">
        <f>+R16+U16+X16+AA16+AD16+AG16+AJ16+AM16+AP16+AS16+AV16+AY16</f>
        <v>0</v>
      </c>
      <c r="P16" s="440">
        <v>0.3</v>
      </c>
      <c r="Q16" s="440">
        <v>0</v>
      </c>
      <c r="R16" s="443">
        <v>0</v>
      </c>
      <c r="S16" s="444" t="s">
        <v>520</v>
      </c>
      <c r="T16" s="440">
        <v>0</v>
      </c>
      <c r="U16" s="445">
        <v>0</v>
      </c>
      <c r="V16" s="444" t="s">
        <v>521</v>
      </c>
      <c r="W16" s="440">
        <v>0</v>
      </c>
      <c r="X16" s="445">
        <v>0</v>
      </c>
      <c r="Y16" s="444" t="s">
        <v>521</v>
      </c>
      <c r="Z16" s="440">
        <v>0</v>
      </c>
      <c r="AA16" s="445">
        <v>0</v>
      </c>
      <c r="AB16" s="444" t="s">
        <v>521</v>
      </c>
      <c r="AC16" s="440">
        <v>0</v>
      </c>
      <c r="AD16" s="446">
        <v>0</v>
      </c>
      <c r="AE16" s="444" t="s">
        <v>521</v>
      </c>
      <c r="AF16" s="440">
        <v>0</v>
      </c>
      <c r="AG16" s="440">
        <v>0</v>
      </c>
      <c r="AH16" s="440" t="s">
        <v>521</v>
      </c>
      <c r="AI16" s="411">
        <v>0</v>
      </c>
      <c r="AJ16" s="411"/>
      <c r="AK16" s="411"/>
      <c r="AL16" s="411">
        <v>0</v>
      </c>
      <c r="AM16" s="411"/>
      <c r="AN16" s="411"/>
      <c r="AO16" s="411">
        <v>0</v>
      </c>
      <c r="AP16" s="411"/>
      <c r="AQ16" s="411"/>
      <c r="AR16" s="411">
        <v>0</v>
      </c>
      <c r="AS16" s="411"/>
      <c r="AT16" s="411"/>
      <c r="AU16" s="411">
        <v>0</v>
      </c>
      <c r="AV16" s="411"/>
      <c r="AW16" s="411"/>
      <c r="AX16" s="177">
        <v>0.3</v>
      </c>
      <c r="AY16" s="143"/>
      <c r="AZ16" s="143"/>
      <c r="BA16" s="413">
        <f t="shared" si="0"/>
        <v>0</v>
      </c>
      <c r="BB16" s="413">
        <f t="shared" si="1"/>
        <v>0</v>
      </c>
      <c r="BC16" s="52" t="str">
        <f>+IF(BA16=0,+IF(BB16=0,"No programación, No avance",+IF(BB16&gt;0,+IF(BA16=0,BB16/P16))),BB16/BA16)</f>
        <v>No programación, No avance</v>
      </c>
    </row>
    <row r="17" spans="1:56" s="2" customFormat="1" ht="99.75" customHeight="1">
      <c r="A17" s="717" t="s">
        <v>84</v>
      </c>
      <c r="B17" s="749">
        <v>49.5</v>
      </c>
      <c r="C17" s="710" t="s">
        <v>85</v>
      </c>
      <c r="D17" s="447" t="s">
        <v>529</v>
      </c>
      <c r="E17" s="447" t="s">
        <v>530</v>
      </c>
      <c r="F17" s="447" t="s">
        <v>531</v>
      </c>
      <c r="G17" s="447">
        <v>1</v>
      </c>
      <c r="H17" s="447" t="s">
        <v>532</v>
      </c>
      <c r="I17" s="447" t="s">
        <v>73</v>
      </c>
      <c r="J17" s="447" t="s">
        <v>72</v>
      </c>
      <c r="K17" s="447" t="s">
        <v>533</v>
      </c>
      <c r="L17" s="447" t="s">
        <v>534</v>
      </c>
      <c r="M17" s="448">
        <v>44197</v>
      </c>
      <c r="N17" s="448">
        <v>44561</v>
      </c>
      <c r="O17" s="447">
        <f>+R17+U17+X17+AA17+AD17+AG17+AJ17+AM17+AP17+AS17+AV17+AY17</f>
        <v>9721</v>
      </c>
      <c r="P17" s="447">
        <v>27813</v>
      </c>
      <c r="Q17" s="447">
        <v>1469</v>
      </c>
      <c r="R17" s="447">
        <v>0</v>
      </c>
      <c r="S17" s="447" t="s">
        <v>535</v>
      </c>
      <c r="T17" s="447">
        <v>3640</v>
      </c>
      <c r="U17" s="447">
        <v>2893</v>
      </c>
      <c r="V17" s="450" t="s">
        <v>536</v>
      </c>
      <c r="W17" s="447">
        <v>5186</v>
      </c>
      <c r="X17" s="447">
        <v>1224</v>
      </c>
      <c r="Y17" s="451" t="s">
        <v>86</v>
      </c>
      <c r="Z17" s="447">
        <v>1933</v>
      </c>
      <c r="AA17" s="447">
        <v>2197</v>
      </c>
      <c r="AB17" s="451" t="s">
        <v>87</v>
      </c>
      <c r="AC17" s="447">
        <v>1745</v>
      </c>
      <c r="AD17" s="447">
        <v>2511</v>
      </c>
      <c r="AE17" s="451" t="s">
        <v>537</v>
      </c>
      <c r="AF17" s="447">
        <v>1091</v>
      </c>
      <c r="AG17" s="447">
        <v>896</v>
      </c>
      <c r="AH17" s="452" t="s">
        <v>538</v>
      </c>
      <c r="AI17" s="447">
        <v>1672</v>
      </c>
      <c r="AJ17" s="447"/>
      <c r="AK17" s="447"/>
      <c r="AL17" s="447">
        <v>2222</v>
      </c>
      <c r="AM17" s="447"/>
      <c r="AN17" s="447"/>
      <c r="AO17" s="447">
        <v>2313</v>
      </c>
      <c r="AP17" s="447"/>
      <c r="AQ17" s="447"/>
      <c r="AR17" s="447">
        <v>2985</v>
      </c>
      <c r="AS17" s="447"/>
      <c r="AT17" s="447"/>
      <c r="AU17" s="447">
        <v>2432</v>
      </c>
      <c r="AV17" s="447"/>
      <c r="AW17" s="447"/>
      <c r="AX17" s="447">
        <v>1125</v>
      </c>
      <c r="AY17" s="449"/>
      <c r="AZ17" s="449"/>
      <c r="BA17" s="453">
        <f t="shared" si="0"/>
        <v>15064</v>
      </c>
      <c r="BB17" s="453">
        <f t="shared" si="1"/>
        <v>9721</v>
      </c>
      <c r="BC17" s="454">
        <f>+IF(BA17=0,+IF(BB17=0,"No programación, No avance",+IF(BB17&gt;0,+IF(BA17=0,BB17/P17))),BB17/BA17)</f>
        <v>0.64531332979288369</v>
      </c>
      <c r="BD17" s="2">
        <f>+AVERAGE(BC17:BC44)</f>
        <v>0.73324294893813957</v>
      </c>
    </row>
    <row r="18" spans="1:56" s="2" customFormat="1" ht="48" customHeight="1">
      <c r="A18" s="718"/>
      <c r="B18" s="750"/>
      <c r="C18" s="685"/>
      <c r="D18" s="455" t="s">
        <v>540</v>
      </c>
      <c r="E18" s="455" t="s">
        <v>541</v>
      </c>
      <c r="F18" s="455" t="s">
        <v>531</v>
      </c>
      <c r="G18" s="455">
        <v>1</v>
      </c>
      <c r="H18" s="455" t="s">
        <v>91</v>
      </c>
      <c r="I18" s="455" t="s">
        <v>73</v>
      </c>
      <c r="J18" s="455" t="s">
        <v>72</v>
      </c>
      <c r="K18" s="455" t="s">
        <v>542</v>
      </c>
      <c r="L18" s="455" t="s">
        <v>534</v>
      </c>
      <c r="M18" s="456">
        <v>44197</v>
      </c>
      <c r="N18" s="456">
        <v>44561</v>
      </c>
      <c r="O18" s="455">
        <f>+R18+U18+X18+AA18+AD18+AG18+AJ18+AM18+AP18+AS18+AV18+AY18</f>
        <v>2704</v>
      </c>
      <c r="P18" s="455">
        <v>20000</v>
      </c>
      <c r="Q18" s="455">
        <v>0</v>
      </c>
      <c r="R18" s="455">
        <v>0</v>
      </c>
      <c r="S18" s="455" t="s">
        <v>543</v>
      </c>
      <c r="T18" s="455">
        <v>0</v>
      </c>
      <c r="U18" s="455">
        <v>0</v>
      </c>
      <c r="V18" s="455" t="s">
        <v>543</v>
      </c>
      <c r="W18" s="455">
        <v>0</v>
      </c>
      <c r="X18" s="455">
        <v>0</v>
      </c>
      <c r="Y18" s="457" t="s">
        <v>89</v>
      </c>
      <c r="Z18" s="455">
        <v>0</v>
      </c>
      <c r="AA18" s="455">
        <v>2704</v>
      </c>
      <c r="AB18" s="457" t="s">
        <v>90</v>
      </c>
      <c r="AC18" s="455">
        <v>0</v>
      </c>
      <c r="AD18" s="455">
        <v>0</v>
      </c>
      <c r="AE18" s="457" t="s">
        <v>544</v>
      </c>
      <c r="AF18" s="455">
        <v>0</v>
      </c>
      <c r="AG18" s="458">
        <v>0</v>
      </c>
      <c r="AH18" s="457" t="s">
        <v>544</v>
      </c>
      <c r="AI18" s="455">
        <v>0</v>
      </c>
      <c r="AJ18" s="455"/>
      <c r="AK18" s="455"/>
      <c r="AL18" s="455">
        <v>0</v>
      </c>
      <c r="AM18" s="455"/>
      <c r="AN18" s="455"/>
      <c r="AO18" s="455">
        <v>0</v>
      </c>
      <c r="AP18" s="455"/>
      <c r="AQ18" s="455"/>
      <c r="AR18" s="455">
        <v>0</v>
      </c>
      <c r="AS18" s="455"/>
      <c r="AT18" s="455"/>
      <c r="AU18" s="455">
        <v>0</v>
      </c>
      <c r="AV18" s="455"/>
      <c r="AW18" s="455"/>
      <c r="AX18" s="455">
        <v>20000</v>
      </c>
      <c r="AY18" s="453"/>
      <c r="AZ18" s="453"/>
      <c r="BA18" s="453">
        <f t="shared" si="0"/>
        <v>0</v>
      </c>
      <c r="BB18" s="453">
        <f t="shared" si="1"/>
        <v>2704</v>
      </c>
      <c r="BC18" s="459">
        <f>+IF(BA18=0,+IF(BB18=0,"No programación, No avance",+IF(BB18&gt;0,+IF(BA18=0,BB18/P18))),BB18/BA18)</f>
        <v>0.13519999999999999</v>
      </c>
    </row>
    <row r="19" spans="1:56" s="2" customFormat="1" ht="57.75" customHeight="1">
      <c r="A19" s="718"/>
      <c r="B19" s="750"/>
      <c r="C19" s="685"/>
      <c r="D19" s="685" t="s">
        <v>546</v>
      </c>
      <c r="E19" s="455" t="s">
        <v>547</v>
      </c>
      <c r="F19" s="455" t="s">
        <v>472</v>
      </c>
      <c r="G19" s="455">
        <v>0.2</v>
      </c>
      <c r="H19" s="455" t="s">
        <v>91</v>
      </c>
      <c r="I19" s="455" t="s">
        <v>73</v>
      </c>
      <c r="J19" s="455" t="s">
        <v>72</v>
      </c>
      <c r="K19" s="455" t="s">
        <v>548</v>
      </c>
      <c r="L19" s="455" t="s">
        <v>549</v>
      </c>
      <c r="M19" s="456">
        <v>44197</v>
      </c>
      <c r="N19" s="456">
        <v>44561</v>
      </c>
      <c r="O19" s="455">
        <f>+R19+U19+X19+AA19+AD19+AG19+AJ19+AM19+AP19+AS19+AV19+AY19</f>
        <v>1</v>
      </c>
      <c r="P19" s="455">
        <v>2</v>
      </c>
      <c r="Q19" s="455">
        <v>0</v>
      </c>
      <c r="R19" s="455">
        <v>0</v>
      </c>
      <c r="S19" s="455" t="s">
        <v>550</v>
      </c>
      <c r="T19" s="455">
        <v>0</v>
      </c>
      <c r="U19" s="455">
        <v>0</v>
      </c>
      <c r="V19" s="455" t="s">
        <v>93</v>
      </c>
      <c r="W19" s="455">
        <v>0</v>
      </c>
      <c r="X19" s="455">
        <v>0</v>
      </c>
      <c r="Y19" s="457" t="s">
        <v>94</v>
      </c>
      <c r="Z19" s="455">
        <v>2</v>
      </c>
      <c r="AA19" s="455">
        <v>1</v>
      </c>
      <c r="AB19" s="457" t="s">
        <v>551</v>
      </c>
      <c r="AC19" s="455">
        <v>0</v>
      </c>
      <c r="AD19" s="455">
        <v>0</v>
      </c>
      <c r="AE19" s="457" t="s">
        <v>552</v>
      </c>
      <c r="AF19" s="455">
        <v>0</v>
      </c>
      <c r="AG19" s="458">
        <v>0</v>
      </c>
      <c r="AH19" s="460" t="s">
        <v>553</v>
      </c>
      <c r="AI19" s="455">
        <v>0</v>
      </c>
      <c r="AJ19" s="455"/>
      <c r="AK19" s="455"/>
      <c r="AL19" s="455">
        <v>0</v>
      </c>
      <c r="AM19" s="455"/>
      <c r="AN19" s="455"/>
      <c r="AO19" s="455">
        <v>0</v>
      </c>
      <c r="AP19" s="455"/>
      <c r="AQ19" s="455"/>
      <c r="AR19" s="455">
        <v>0</v>
      </c>
      <c r="AS19" s="455"/>
      <c r="AT19" s="455"/>
      <c r="AU19" s="455">
        <v>0</v>
      </c>
      <c r="AV19" s="455"/>
      <c r="AW19" s="455"/>
      <c r="AX19" s="455">
        <v>0</v>
      </c>
      <c r="AY19" s="453"/>
      <c r="AZ19" s="453"/>
      <c r="BA19" s="453">
        <f t="shared" si="0"/>
        <v>2</v>
      </c>
      <c r="BB19" s="453">
        <f t="shared" si="1"/>
        <v>1</v>
      </c>
      <c r="BC19" s="459">
        <f>+IF(BA19=0,+IF(BB19=0,"No programación, No avance",+IF(BB19&gt;0,+IF(BA19=0,BB19/P19))),BB19/BA19)</f>
        <v>0.5</v>
      </c>
    </row>
    <row r="20" spans="1:56" s="2" customFormat="1" ht="34.5" customHeight="1">
      <c r="A20" s="718"/>
      <c r="B20" s="750"/>
      <c r="C20" s="685"/>
      <c r="D20" s="685"/>
      <c r="E20" s="455" t="s">
        <v>555</v>
      </c>
      <c r="F20" s="455" t="s">
        <v>472</v>
      </c>
      <c r="G20" s="455">
        <v>0.4</v>
      </c>
      <c r="H20" s="455" t="s">
        <v>91</v>
      </c>
      <c r="I20" s="455" t="s">
        <v>73</v>
      </c>
      <c r="J20" s="455" t="s">
        <v>72</v>
      </c>
      <c r="K20" s="455" t="s">
        <v>556</v>
      </c>
      <c r="L20" s="455" t="s">
        <v>549</v>
      </c>
      <c r="M20" s="456">
        <v>44197</v>
      </c>
      <c r="N20" s="456">
        <v>44561</v>
      </c>
      <c r="O20" s="455">
        <f>+R20+U20+X20+AA20+AD20+AG20+AJ20+AM20+AP20+AS20+AV20+AY20</f>
        <v>2</v>
      </c>
      <c r="P20" s="455">
        <v>2</v>
      </c>
      <c r="Q20" s="455">
        <v>0</v>
      </c>
      <c r="R20" s="455">
        <v>0</v>
      </c>
      <c r="S20" s="455"/>
      <c r="T20" s="455">
        <v>0</v>
      </c>
      <c r="U20" s="455">
        <v>0</v>
      </c>
      <c r="V20" s="455"/>
      <c r="W20" s="455">
        <v>0</v>
      </c>
      <c r="X20" s="455">
        <v>0</v>
      </c>
      <c r="Y20" s="457" t="s">
        <v>557</v>
      </c>
      <c r="Z20" s="455">
        <v>0</v>
      </c>
      <c r="AA20" s="455">
        <v>1</v>
      </c>
      <c r="AB20" s="457" t="s">
        <v>558</v>
      </c>
      <c r="AC20" s="455">
        <v>0</v>
      </c>
      <c r="AD20" s="455">
        <v>0</v>
      </c>
      <c r="AE20" s="457" t="s">
        <v>559</v>
      </c>
      <c r="AF20" s="455">
        <v>2</v>
      </c>
      <c r="AG20" s="458">
        <v>1</v>
      </c>
      <c r="AH20" s="460" t="s">
        <v>560</v>
      </c>
      <c r="AI20" s="455">
        <v>0</v>
      </c>
      <c r="AJ20" s="455"/>
      <c r="AK20" s="455"/>
      <c r="AL20" s="455">
        <v>0</v>
      </c>
      <c r="AM20" s="455"/>
      <c r="AN20" s="455"/>
      <c r="AO20" s="455">
        <v>0</v>
      </c>
      <c r="AP20" s="455"/>
      <c r="AQ20" s="455"/>
      <c r="AR20" s="455">
        <v>0</v>
      </c>
      <c r="AS20" s="455"/>
      <c r="AT20" s="455"/>
      <c r="AU20" s="455">
        <v>0</v>
      </c>
      <c r="AV20" s="455"/>
      <c r="AW20" s="455"/>
      <c r="AX20" s="455">
        <v>0</v>
      </c>
      <c r="AY20" s="453"/>
      <c r="AZ20" s="453"/>
      <c r="BA20" s="453">
        <f t="shared" si="0"/>
        <v>2</v>
      </c>
      <c r="BB20" s="453">
        <f t="shared" si="1"/>
        <v>2</v>
      </c>
      <c r="BC20" s="459">
        <f>+IF(BA20=0,+IF(BB20=0,"No programación, No avance",+IF(BB20&gt;0,+IF(BA20=0,BB20/P20))),BB20/BA20)</f>
        <v>1</v>
      </c>
    </row>
    <row r="21" spans="1:56" s="2" customFormat="1" ht="48">
      <c r="A21" s="718"/>
      <c r="B21" s="750"/>
      <c r="C21" s="685"/>
      <c r="D21" s="685"/>
      <c r="E21" s="455" t="s">
        <v>2860</v>
      </c>
      <c r="F21" s="455" t="s">
        <v>531</v>
      </c>
      <c r="G21" s="455">
        <v>0.4</v>
      </c>
      <c r="H21" s="455" t="s">
        <v>91</v>
      </c>
      <c r="I21" s="455" t="s">
        <v>73</v>
      </c>
      <c r="J21" s="455" t="s">
        <v>72</v>
      </c>
      <c r="K21" s="455" t="s">
        <v>562</v>
      </c>
      <c r="L21" s="455" t="s">
        <v>563</v>
      </c>
      <c r="M21" s="456">
        <v>44197</v>
      </c>
      <c r="N21" s="456">
        <v>44561</v>
      </c>
      <c r="O21" s="455">
        <f>+R21+U21+X21+AA21+AD21+AG21+AJ21+AM21+AP21+AS21+AV21+AY21</f>
        <v>0</v>
      </c>
      <c r="P21" s="455">
        <v>9167</v>
      </c>
      <c r="Q21" s="455">
        <v>0</v>
      </c>
      <c r="R21" s="455">
        <v>0</v>
      </c>
      <c r="S21" s="455"/>
      <c r="T21" s="455">
        <v>0</v>
      </c>
      <c r="U21" s="455">
        <v>0</v>
      </c>
      <c r="V21" s="455"/>
      <c r="W21" s="455">
        <v>0</v>
      </c>
      <c r="X21" s="455">
        <v>0</v>
      </c>
      <c r="Y21" s="457" t="s">
        <v>557</v>
      </c>
      <c r="Z21" s="455">
        <v>0</v>
      </c>
      <c r="AA21" s="455">
        <v>0</v>
      </c>
      <c r="AB21" s="457" t="s">
        <v>557</v>
      </c>
      <c r="AC21" s="455">
        <v>0</v>
      </c>
      <c r="AD21" s="455">
        <v>0</v>
      </c>
      <c r="AE21" s="457" t="s">
        <v>557</v>
      </c>
      <c r="AF21" s="455">
        <v>0</v>
      </c>
      <c r="AG21" s="458">
        <v>0</v>
      </c>
      <c r="AH21" s="460" t="s">
        <v>557</v>
      </c>
      <c r="AI21" s="455">
        <v>0</v>
      </c>
      <c r="AJ21" s="455"/>
      <c r="AK21" s="455"/>
      <c r="AL21" s="455">
        <v>0</v>
      </c>
      <c r="AM21" s="455"/>
      <c r="AN21" s="455"/>
      <c r="AO21" s="455">
        <v>0</v>
      </c>
      <c r="AP21" s="455"/>
      <c r="AQ21" s="455"/>
      <c r="AR21" s="455">
        <v>9617</v>
      </c>
      <c r="AS21" s="455"/>
      <c r="AT21" s="455"/>
      <c r="AU21" s="455">
        <v>0</v>
      </c>
      <c r="AV21" s="455"/>
      <c r="AW21" s="455"/>
      <c r="AX21" s="455">
        <v>0</v>
      </c>
      <c r="AY21" s="453"/>
      <c r="AZ21" s="453"/>
      <c r="BA21" s="453">
        <f t="shared" si="0"/>
        <v>0</v>
      </c>
      <c r="BB21" s="453">
        <f t="shared" si="1"/>
        <v>0</v>
      </c>
      <c r="BC21" s="459" t="str">
        <f>+IF(BA21=0,+IF(BB21=0,"No programación, No avance",+IF(BB21&gt;0,+IF(BA21=0,BB21/P21))),BB21/BA21)</f>
        <v>No programación, No avance</v>
      </c>
      <c r="BD21" s="47"/>
    </row>
    <row r="22" spans="1:56" s="2" customFormat="1" ht="24" customHeight="1">
      <c r="A22" s="718"/>
      <c r="B22" s="750"/>
      <c r="C22" s="685" t="s">
        <v>96</v>
      </c>
      <c r="D22" s="685" t="s">
        <v>565</v>
      </c>
      <c r="E22" s="455" t="s">
        <v>566</v>
      </c>
      <c r="F22" s="455" t="s">
        <v>472</v>
      </c>
      <c r="G22" s="455">
        <v>0.4</v>
      </c>
      <c r="H22" s="455" t="s">
        <v>91</v>
      </c>
      <c r="I22" s="455" t="s">
        <v>73</v>
      </c>
      <c r="J22" s="455" t="s">
        <v>72</v>
      </c>
      <c r="K22" s="455" t="s">
        <v>567</v>
      </c>
      <c r="L22" s="455" t="s">
        <v>549</v>
      </c>
      <c r="M22" s="456">
        <v>44197</v>
      </c>
      <c r="N22" s="456">
        <v>44561</v>
      </c>
      <c r="O22" s="455">
        <f>+R22+U22+X22+AA22+AD22+AG22+AJ22+AM22+AP22+AS22+AV22+AY22</f>
        <v>1</v>
      </c>
      <c r="P22" s="455">
        <v>1</v>
      </c>
      <c r="Q22" s="455">
        <v>0</v>
      </c>
      <c r="R22" s="455">
        <v>0</v>
      </c>
      <c r="S22" s="455"/>
      <c r="T22" s="455">
        <v>0</v>
      </c>
      <c r="U22" s="455">
        <v>0</v>
      </c>
      <c r="V22" s="455" t="s">
        <v>97</v>
      </c>
      <c r="W22" s="455">
        <v>0</v>
      </c>
      <c r="X22" s="455">
        <v>0</v>
      </c>
      <c r="Y22" s="457" t="s">
        <v>98</v>
      </c>
      <c r="Z22" s="455">
        <v>1</v>
      </c>
      <c r="AA22" s="455">
        <v>0</v>
      </c>
      <c r="AB22" s="457" t="s">
        <v>568</v>
      </c>
      <c r="AC22" s="455">
        <v>0</v>
      </c>
      <c r="AD22" s="455">
        <v>1</v>
      </c>
      <c r="AE22" s="457" t="s">
        <v>569</v>
      </c>
      <c r="AF22" s="455">
        <v>0</v>
      </c>
      <c r="AG22" s="458">
        <v>0</v>
      </c>
      <c r="AH22" s="460" t="s">
        <v>570</v>
      </c>
      <c r="AI22" s="455">
        <v>0</v>
      </c>
      <c r="AJ22" s="455"/>
      <c r="AK22" s="455"/>
      <c r="AL22" s="455">
        <v>0</v>
      </c>
      <c r="AM22" s="455"/>
      <c r="AN22" s="455"/>
      <c r="AO22" s="455">
        <v>0</v>
      </c>
      <c r="AP22" s="455"/>
      <c r="AQ22" s="455"/>
      <c r="AR22" s="455">
        <v>0</v>
      </c>
      <c r="AS22" s="455"/>
      <c r="AT22" s="455"/>
      <c r="AU22" s="455">
        <v>0</v>
      </c>
      <c r="AV22" s="455"/>
      <c r="AW22" s="455"/>
      <c r="AX22" s="455">
        <v>0</v>
      </c>
      <c r="AY22" s="453"/>
      <c r="AZ22" s="453"/>
      <c r="BA22" s="453">
        <f t="shared" si="0"/>
        <v>1</v>
      </c>
      <c r="BB22" s="453">
        <f t="shared" si="1"/>
        <v>1</v>
      </c>
      <c r="BC22" s="459">
        <f>+IF(BA22=0,+IF(BB22=0,"No programación, No avance",+IF(BB22&gt;0,+IF(BA22=0,BB22/P22))),BB22/BA22)</f>
        <v>1</v>
      </c>
    </row>
    <row r="23" spans="1:56" s="2" customFormat="1" ht="36" customHeight="1">
      <c r="A23" s="718"/>
      <c r="B23" s="750"/>
      <c r="C23" s="685"/>
      <c r="D23" s="685"/>
      <c r="E23" s="455" t="s">
        <v>572</v>
      </c>
      <c r="F23" s="455" t="s">
        <v>472</v>
      </c>
      <c r="G23" s="455">
        <v>0.2</v>
      </c>
      <c r="H23" s="455" t="s">
        <v>91</v>
      </c>
      <c r="I23" s="455" t="s">
        <v>73</v>
      </c>
      <c r="J23" s="455" t="s">
        <v>72</v>
      </c>
      <c r="K23" s="455" t="s">
        <v>573</v>
      </c>
      <c r="L23" s="455" t="s">
        <v>549</v>
      </c>
      <c r="M23" s="456">
        <v>44197</v>
      </c>
      <c r="N23" s="456">
        <v>44561</v>
      </c>
      <c r="O23" s="455">
        <f>+R23+U23+X23+AA23+AD23+AG23+AJ23+AM23+AP23+AS23+AV23+AY23</f>
        <v>1</v>
      </c>
      <c r="P23" s="455">
        <v>1</v>
      </c>
      <c r="Q23" s="455">
        <v>0</v>
      </c>
      <c r="R23" s="455">
        <v>0</v>
      </c>
      <c r="S23" s="455"/>
      <c r="T23" s="455">
        <v>0</v>
      </c>
      <c r="U23" s="455">
        <v>0</v>
      </c>
      <c r="V23" s="455"/>
      <c r="W23" s="455">
        <v>0</v>
      </c>
      <c r="X23" s="455">
        <v>0</v>
      </c>
      <c r="Y23" s="457" t="s">
        <v>557</v>
      </c>
      <c r="Z23" s="455">
        <v>0</v>
      </c>
      <c r="AA23" s="455">
        <v>0</v>
      </c>
      <c r="AB23" s="457" t="s">
        <v>557</v>
      </c>
      <c r="AC23" s="455">
        <v>1</v>
      </c>
      <c r="AD23" s="455">
        <v>0</v>
      </c>
      <c r="AE23" s="457" t="s">
        <v>574</v>
      </c>
      <c r="AF23" s="455">
        <v>0</v>
      </c>
      <c r="AG23" s="458">
        <v>1</v>
      </c>
      <c r="AH23" s="460" t="s">
        <v>575</v>
      </c>
      <c r="AI23" s="455">
        <v>0</v>
      </c>
      <c r="AJ23" s="455"/>
      <c r="AK23" s="455"/>
      <c r="AL23" s="455">
        <v>0</v>
      </c>
      <c r="AM23" s="455"/>
      <c r="AN23" s="455"/>
      <c r="AO23" s="455">
        <v>0</v>
      </c>
      <c r="AP23" s="455"/>
      <c r="AQ23" s="455"/>
      <c r="AR23" s="455">
        <v>0</v>
      </c>
      <c r="AS23" s="455"/>
      <c r="AT23" s="455"/>
      <c r="AU23" s="455">
        <v>0</v>
      </c>
      <c r="AV23" s="455"/>
      <c r="AW23" s="455"/>
      <c r="AX23" s="455">
        <v>0</v>
      </c>
      <c r="AY23" s="453"/>
      <c r="AZ23" s="453"/>
      <c r="BA23" s="453">
        <f t="shared" si="0"/>
        <v>1</v>
      </c>
      <c r="BB23" s="453">
        <f t="shared" si="1"/>
        <v>1</v>
      </c>
      <c r="BC23" s="459">
        <f>+IF(BA23=0,+IF(BB23=0,"No programación, No avance",+IF(BB23&gt;0,+IF(BA23=0,BB23/P23))),BB23/BA23)</f>
        <v>1</v>
      </c>
    </row>
    <row r="24" spans="1:56" s="2" customFormat="1" ht="43.5" customHeight="1">
      <c r="A24" s="718"/>
      <c r="B24" s="750"/>
      <c r="C24" s="685"/>
      <c r="D24" s="685"/>
      <c r="E24" s="455" t="s">
        <v>577</v>
      </c>
      <c r="F24" s="455" t="s">
        <v>472</v>
      </c>
      <c r="G24" s="455">
        <v>0.4</v>
      </c>
      <c r="H24" s="455" t="s">
        <v>91</v>
      </c>
      <c r="I24" s="455" t="s">
        <v>73</v>
      </c>
      <c r="J24" s="455" t="s">
        <v>72</v>
      </c>
      <c r="K24" s="455" t="s">
        <v>562</v>
      </c>
      <c r="L24" s="455" t="s">
        <v>563</v>
      </c>
      <c r="M24" s="456">
        <v>44197</v>
      </c>
      <c r="N24" s="456">
        <v>44561</v>
      </c>
      <c r="O24" s="455">
        <f>+R24+U24+X24+AA24+AD24+AG24+AJ24+AM24+AP24+AS24+AV24+AY24</f>
        <v>0</v>
      </c>
      <c r="P24" s="455">
        <v>1</v>
      </c>
      <c r="Q24" s="455">
        <v>0</v>
      </c>
      <c r="R24" s="455">
        <v>0</v>
      </c>
      <c r="S24" s="455"/>
      <c r="T24" s="455">
        <v>0</v>
      </c>
      <c r="U24" s="455">
        <v>0</v>
      </c>
      <c r="V24" s="455"/>
      <c r="W24" s="455">
        <v>0</v>
      </c>
      <c r="X24" s="455">
        <v>0</v>
      </c>
      <c r="Y24" s="457" t="s">
        <v>557</v>
      </c>
      <c r="Z24" s="455">
        <v>0</v>
      </c>
      <c r="AA24" s="455">
        <v>0</v>
      </c>
      <c r="AB24" s="457" t="s">
        <v>557</v>
      </c>
      <c r="AC24" s="455">
        <v>0</v>
      </c>
      <c r="AD24" s="455">
        <v>0</v>
      </c>
      <c r="AE24" s="457" t="s">
        <v>557</v>
      </c>
      <c r="AF24" s="455">
        <v>0</v>
      </c>
      <c r="AG24" s="458">
        <v>0</v>
      </c>
      <c r="AH24" s="460" t="s">
        <v>557</v>
      </c>
      <c r="AI24" s="455">
        <v>0</v>
      </c>
      <c r="AJ24" s="455"/>
      <c r="AK24" s="455"/>
      <c r="AL24" s="455">
        <v>0</v>
      </c>
      <c r="AM24" s="455"/>
      <c r="AN24" s="455"/>
      <c r="AO24" s="455">
        <v>1</v>
      </c>
      <c r="AP24" s="455"/>
      <c r="AQ24" s="455"/>
      <c r="AR24" s="455">
        <v>0</v>
      </c>
      <c r="AS24" s="455"/>
      <c r="AT24" s="455"/>
      <c r="AU24" s="455">
        <v>0</v>
      </c>
      <c r="AV24" s="455"/>
      <c r="AW24" s="455"/>
      <c r="AX24" s="455">
        <v>0</v>
      </c>
      <c r="AY24" s="453"/>
      <c r="AZ24" s="453"/>
      <c r="BA24" s="453">
        <f t="shared" si="0"/>
        <v>0</v>
      </c>
      <c r="BB24" s="453">
        <f t="shared" si="1"/>
        <v>0</v>
      </c>
      <c r="BC24" s="459" t="str">
        <f>+IF(BA24=0,+IF(BB24=0,"No programación, No avance",+IF(BB24&gt;0,+IF(BA24=0,BB24/P24))),BB24/BA24)</f>
        <v>No programación, No avance</v>
      </c>
    </row>
    <row r="25" spans="1:56" s="2" customFormat="1" ht="61.5" customHeight="1">
      <c r="A25" s="718"/>
      <c r="B25" s="750"/>
      <c r="C25" s="685" t="s">
        <v>100</v>
      </c>
      <c r="D25" s="685" t="s">
        <v>579</v>
      </c>
      <c r="E25" s="455" t="s">
        <v>580</v>
      </c>
      <c r="F25" s="455" t="s">
        <v>472</v>
      </c>
      <c r="G25" s="455">
        <v>0.1</v>
      </c>
      <c r="H25" s="455" t="s">
        <v>101</v>
      </c>
      <c r="I25" s="455" t="s">
        <v>73</v>
      </c>
      <c r="J25" s="455" t="s">
        <v>72</v>
      </c>
      <c r="K25" s="455" t="s">
        <v>581</v>
      </c>
      <c r="L25" s="455" t="s">
        <v>582</v>
      </c>
      <c r="M25" s="456">
        <v>44197</v>
      </c>
      <c r="N25" s="456">
        <v>44561</v>
      </c>
      <c r="O25" s="455">
        <f>+R25+U25+X25+AA25+AD25+AG25+AJ25+AM25+AP25+AS25+AV25+AY25</f>
        <v>1</v>
      </c>
      <c r="P25" s="455">
        <v>1</v>
      </c>
      <c r="Q25" s="455">
        <v>0</v>
      </c>
      <c r="R25" s="455">
        <v>0</v>
      </c>
      <c r="S25" s="455"/>
      <c r="T25" s="455">
        <v>0</v>
      </c>
      <c r="U25" s="455">
        <v>0</v>
      </c>
      <c r="V25" s="455" t="s">
        <v>583</v>
      </c>
      <c r="W25" s="455">
        <v>0</v>
      </c>
      <c r="X25" s="455">
        <v>0</v>
      </c>
      <c r="Y25" s="457" t="s">
        <v>584</v>
      </c>
      <c r="Z25" s="455">
        <v>0</v>
      </c>
      <c r="AA25" s="455">
        <v>1</v>
      </c>
      <c r="AB25" s="457" t="s">
        <v>585</v>
      </c>
      <c r="AC25" s="455">
        <v>0</v>
      </c>
      <c r="AD25" s="455">
        <v>0</v>
      </c>
      <c r="AE25" s="457" t="s">
        <v>586</v>
      </c>
      <c r="AF25" s="455">
        <v>1</v>
      </c>
      <c r="AG25" s="458">
        <v>0</v>
      </c>
      <c r="AH25" s="460" t="s">
        <v>586</v>
      </c>
      <c r="AI25" s="455">
        <v>0</v>
      </c>
      <c r="AJ25" s="455"/>
      <c r="AK25" s="455"/>
      <c r="AL25" s="455">
        <v>0</v>
      </c>
      <c r="AM25" s="455"/>
      <c r="AN25" s="455"/>
      <c r="AO25" s="455">
        <v>0</v>
      </c>
      <c r="AP25" s="455"/>
      <c r="AQ25" s="455"/>
      <c r="AR25" s="455">
        <v>0</v>
      </c>
      <c r="AS25" s="455"/>
      <c r="AT25" s="455"/>
      <c r="AU25" s="455">
        <v>0</v>
      </c>
      <c r="AV25" s="455"/>
      <c r="AW25" s="455"/>
      <c r="AX25" s="455">
        <v>0</v>
      </c>
      <c r="AY25" s="453"/>
      <c r="AZ25" s="453"/>
      <c r="BA25" s="453">
        <f t="shared" si="0"/>
        <v>1</v>
      </c>
      <c r="BB25" s="453">
        <f t="shared" si="1"/>
        <v>1</v>
      </c>
      <c r="BC25" s="459">
        <f>+IF(BA25=0,+IF(BB25=0,"No programación, No avance",+IF(BB25&gt;0,+IF(BA25=0,BB25/P25))),BB25/BA25)</f>
        <v>1</v>
      </c>
    </row>
    <row r="26" spans="1:56" s="2" customFormat="1" ht="36" customHeight="1">
      <c r="A26" s="718"/>
      <c r="B26" s="750"/>
      <c r="C26" s="685"/>
      <c r="D26" s="685"/>
      <c r="E26" s="455" t="s">
        <v>588</v>
      </c>
      <c r="F26" s="455" t="s">
        <v>472</v>
      </c>
      <c r="G26" s="455">
        <v>0.2</v>
      </c>
      <c r="H26" s="455" t="s">
        <v>101</v>
      </c>
      <c r="I26" s="455" t="s">
        <v>73</v>
      </c>
      <c r="J26" s="455" t="s">
        <v>72</v>
      </c>
      <c r="K26" s="455" t="s">
        <v>589</v>
      </c>
      <c r="L26" s="455" t="s">
        <v>590</v>
      </c>
      <c r="M26" s="456">
        <v>44197</v>
      </c>
      <c r="N26" s="456">
        <v>44561</v>
      </c>
      <c r="O26" s="455">
        <f>+R26+U26+X26+AA26+AD26+AG26+AJ26+AM26+AP26+AS26+AV26+AY26</f>
        <v>1</v>
      </c>
      <c r="P26" s="455">
        <v>1</v>
      </c>
      <c r="Q26" s="455">
        <v>0</v>
      </c>
      <c r="R26" s="455">
        <v>0</v>
      </c>
      <c r="S26" s="455"/>
      <c r="T26" s="455">
        <v>0</v>
      </c>
      <c r="U26" s="455">
        <v>0</v>
      </c>
      <c r="V26" s="455"/>
      <c r="W26" s="455">
        <v>0</v>
      </c>
      <c r="X26" s="455">
        <v>0</v>
      </c>
      <c r="Y26" s="457" t="s">
        <v>557</v>
      </c>
      <c r="Z26" s="455">
        <v>0</v>
      </c>
      <c r="AA26" s="455">
        <v>0</v>
      </c>
      <c r="AB26" s="457" t="s">
        <v>591</v>
      </c>
      <c r="AC26" s="455">
        <v>0</v>
      </c>
      <c r="AD26" s="455">
        <v>1</v>
      </c>
      <c r="AE26" s="457" t="s">
        <v>592</v>
      </c>
      <c r="AF26" s="455">
        <v>1</v>
      </c>
      <c r="AG26" s="458">
        <v>0</v>
      </c>
      <c r="AH26" s="460" t="s">
        <v>586</v>
      </c>
      <c r="AI26" s="455">
        <v>0</v>
      </c>
      <c r="AJ26" s="455"/>
      <c r="AK26" s="455"/>
      <c r="AL26" s="455">
        <v>0</v>
      </c>
      <c r="AM26" s="455"/>
      <c r="AN26" s="455"/>
      <c r="AO26" s="455">
        <v>0</v>
      </c>
      <c r="AP26" s="455"/>
      <c r="AQ26" s="455"/>
      <c r="AR26" s="455">
        <v>0</v>
      </c>
      <c r="AS26" s="455"/>
      <c r="AT26" s="455"/>
      <c r="AU26" s="455">
        <v>0</v>
      </c>
      <c r="AV26" s="455"/>
      <c r="AW26" s="455"/>
      <c r="AX26" s="455">
        <v>0</v>
      </c>
      <c r="AY26" s="453"/>
      <c r="AZ26" s="453"/>
      <c r="BA26" s="453">
        <f t="shared" si="0"/>
        <v>1</v>
      </c>
      <c r="BB26" s="453">
        <f t="shared" si="1"/>
        <v>1</v>
      </c>
      <c r="BC26" s="459">
        <f>+IF(BA26=0,+IF(BB26=0,"No programación, No avance",+IF(BB26&gt;0,+IF(BA26=0,BB26/P26))),BB26/BA26)</f>
        <v>1</v>
      </c>
    </row>
    <row r="27" spans="1:56" s="2" customFormat="1" ht="42.75" customHeight="1">
      <c r="A27" s="718"/>
      <c r="B27" s="750"/>
      <c r="C27" s="685"/>
      <c r="D27" s="685"/>
      <c r="E27" s="455" t="s">
        <v>594</v>
      </c>
      <c r="F27" s="455" t="s">
        <v>531</v>
      </c>
      <c r="G27" s="455">
        <v>0.2</v>
      </c>
      <c r="H27" s="455" t="s">
        <v>101</v>
      </c>
      <c r="I27" s="455" t="s">
        <v>73</v>
      </c>
      <c r="J27" s="455" t="s">
        <v>72</v>
      </c>
      <c r="K27" s="455" t="s">
        <v>595</v>
      </c>
      <c r="L27" s="455" t="s">
        <v>590</v>
      </c>
      <c r="M27" s="456">
        <v>44197</v>
      </c>
      <c r="N27" s="456">
        <v>44561</v>
      </c>
      <c r="O27" s="455">
        <f>+R27+U27+X27+AA27+AD27+AG27+AJ27+AM27+AP27+AS27+AV27+AY27</f>
        <v>1</v>
      </c>
      <c r="P27" s="455">
        <v>1</v>
      </c>
      <c r="Q27" s="455">
        <v>0</v>
      </c>
      <c r="R27" s="455">
        <v>0</v>
      </c>
      <c r="S27" s="455"/>
      <c r="T27" s="455">
        <v>0</v>
      </c>
      <c r="U27" s="455">
        <v>0</v>
      </c>
      <c r="V27" s="455"/>
      <c r="W27" s="455">
        <v>0</v>
      </c>
      <c r="X27" s="455">
        <v>0</v>
      </c>
      <c r="Y27" s="461" t="s">
        <v>557</v>
      </c>
      <c r="Z27" s="455">
        <v>0</v>
      </c>
      <c r="AA27" s="455">
        <v>0</v>
      </c>
      <c r="AB27" s="457" t="s">
        <v>557</v>
      </c>
      <c r="AC27" s="455">
        <v>0</v>
      </c>
      <c r="AD27" s="455">
        <v>0</v>
      </c>
      <c r="AE27" s="457" t="s">
        <v>596</v>
      </c>
      <c r="AF27" s="455">
        <v>0</v>
      </c>
      <c r="AG27" s="458">
        <v>1</v>
      </c>
      <c r="AH27" s="460" t="s">
        <v>597</v>
      </c>
      <c r="AI27" s="455">
        <v>0</v>
      </c>
      <c r="AJ27" s="455"/>
      <c r="AK27" s="455"/>
      <c r="AL27" s="455">
        <v>0</v>
      </c>
      <c r="AM27" s="455"/>
      <c r="AN27" s="455"/>
      <c r="AO27" s="455">
        <v>1</v>
      </c>
      <c r="AP27" s="455"/>
      <c r="AQ27" s="455"/>
      <c r="AR27" s="455">
        <v>0</v>
      </c>
      <c r="AS27" s="455"/>
      <c r="AT27" s="455"/>
      <c r="AU27" s="455">
        <v>0</v>
      </c>
      <c r="AV27" s="455"/>
      <c r="AW27" s="455"/>
      <c r="AX27" s="455">
        <v>0</v>
      </c>
      <c r="AY27" s="453"/>
      <c r="AZ27" s="453"/>
      <c r="BA27" s="453">
        <f t="shared" si="0"/>
        <v>0</v>
      </c>
      <c r="BB27" s="453">
        <f t="shared" si="1"/>
        <v>1</v>
      </c>
      <c r="BC27" s="459">
        <f>+IF(BA27=0,+IF(BB27=0,"No programación, No avance",+IF(BB27&gt;0,+IF(BA27=0,BB27/P27))),BB27/BA27)</f>
        <v>1</v>
      </c>
    </row>
    <row r="28" spans="1:56" s="2" customFormat="1" ht="39" customHeight="1">
      <c r="A28" s="718"/>
      <c r="B28" s="750"/>
      <c r="C28" s="685"/>
      <c r="D28" s="685"/>
      <c r="E28" s="624" t="s">
        <v>599</v>
      </c>
      <c r="F28" s="624" t="s">
        <v>472</v>
      </c>
      <c r="G28" s="624">
        <v>0.2</v>
      </c>
      <c r="H28" s="624" t="s">
        <v>101</v>
      </c>
      <c r="I28" s="624" t="s">
        <v>73</v>
      </c>
      <c r="J28" s="624" t="s">
        <v>72</v>
      </c>
      <c r="K28" s="624" t="s">
        <v>600</v>
      </c>
      <c r="L28" s="624" t="s">
        <v>582</v>
      </c>
      <c r="M28" s="625">
        <v>44197</v>
      </c>
      <c r="N28" s="625">
        <v>44561</v>
      </c>
      <c r="O28" s="624">
        <f>+R28+U28+X28+AA28+AD28+AG28+AJ28+AM28+AP28+AS28+AV28+AY28</f>
        <v>1</v>
      </c>
      <c r="P28" s="624">
        <v>1</v>
      </c>
      <c r="Q28" s="624">
        <v>0</v>
      </c>
      <c r="R28" s="455">
        <v>0</v>
      </c>
      <c r="S28" s="455" t="s">
        <v>601</v>
      </c>
      <c r="T28" s="455">
        <v>0</v>
      </c>
      <c r="U28" s="455">
        <v>0</v>
      </c>
      <c r="V28" s="455" t="s">
        <v>602</v>
      </c>
      <c r="W28" s="455">
        <v>0</v>
      </c>
      <c r="X28" s="455">
        <v>1</v>
      </c>
      <c r="Y28" s="457" t="s">
        <v>603</v>
      </c>
      <c r="Z28" s="455">
        <v>0</v>
      </c>
      <c r="AA28" s="455">
        <v>0</v>
      </c>
      <c r="AB28" s="457" t="s">
        <v>604</v>
      </c>
      <c r="AC28" s="455">
        <v>0</v>
      </c>
      <c r="AD28" s="455">
        <v>0</v>
      </c>
      <c r="AE28" s="457" t="s">
        <v>604</v>
      </c>
      <c r="AF28" s="455">
        <v>0</v>
      </c>
      <c r="AG28" s="458">
        <v>0</v>
      </c>
      <c r="AH28" s="460" t="s">
        <v>604</v>
      </c>
      <c r="AI28" s="455">
        <v>0</v>
      </c>
      <c r="AJ28" s="455"/>
      <c r="AK28" s="455"/>
      <c r="AL28" s="455">
        <v>0</v>
      </c>
      <c r="AM28" s="455"/>
      <c r="AN28" s="455"/>
      <c r="AO28" s="455">
        <v>1</v>
      </c>
      <c r="AP28" s="455"/>
      <c r="AQ28" s="455"/>
      <c r="AR28" s="455">
        <v>0</v>
      </c>
      <c r="AS28" s="455"/>
      <c r="AT28" s="455"/>
      <c r="AU28" s="455">
        <v>0</v>
      </c>
      <c r="AV28" s="455"/>
      <c r="AW28" s="455"/>
      <c r="AX28" s="455">
        <v>0</v>
      </c>
      <c r="AY28" s="453"/>
      <c r="AZ28" s="453"/>
      <c r="BA28" s="453">
        <f t="shared" si="0"/>
        <v>0</v>
      </c>
      <c r="BB28" s="453">
        <f t="shared" si="1"/>
        <v>1</v>
      </c>
      <c r="BC28" s="459">
        <f>+IF(BA28=0,+IF(BB28=0,"No programación, No avance",+IF(BB28&gt;0,+IF(BA28=0,BB28/P28))),BB28/BA28)</f>
        <v>1</v>
      </c>
      <c r="BD28" s="47"/>
    </row>
    <row r="29" spans="1:56" s="2" customFormat="1" ht="36">
      <c r="A29" s="718"/>
      <c r="B29" s="750"/>
      <c r="C29" s="685"/>
      <c r="D29" s="685"/>
      <c r="E29" s="624" t="s">
        <v>606</v>
      </c>
      <c r="F29" s="624" t="s">
        <v>472</v>
      </c>
      <c r="G29" s="624">
        <v>0.1</v>
      </c>
      <c r="H29" s="624" t="s">
        <v>101</v>
      </c>
      <c r="I29" s="624" t="s">
        <v>73</v>
      </c>
      <c r="J29" s="624" t="s">
        <v>72</v>
      </c>
      <c r="K29" s="624" t="s">
        <v>589</v>
      </c>
      <c r="L29" s="624" t="s">
        <v>590</v>
      </c>
      <c r="M29" s="625">
        <v>44197</v>
      </c>
      <c r="N29" s="625">
        <v>44561</v>
      </c>
      <c r="O29" s="624">
        <f>+R29+U29+X29+AA29+AD29+AG29+AJ29+AM29+AP29+AS29+AV29+AY29</f>
        <v>1</v>
      </c>
      <c r="P29" s="624">
        <v>1</v>
      </c>
      <c r="Q29" s="624">
        <v>0</v>
      </c>
      <c r="R29" s="455">
        <v>0</v>
      </c>
      <c r="S29" s="455"/>
      <c r="T29" s="455">
        <v>0</v>
      </c>
      <c r="U29" s="455">
        <v>0</v>
      </c>
      <c r="V29" s="455">
        <v>0</v>
      </c>
      <c r="W29" s="455">
        <v>0</v>
      </c>
      <c r="X29" s="455">
        <v>1</v>
      </c>
      <c r="Y29" s="457" t="s">
        <v>607</v>
      </c>
      <c r="Z29" s="455">
        <v>0</v>
      </c>
      <c r="AA29" s="455">
        <v>0</v>
      </c>
      <c r="AB29" s="457" t="s">
        <v>604</v>
      </c>
      <c r="AC29" s="455">
        <v>1</v>
      </c>
      <c r="AD29" s="455">
        <v>0</v>
      </c>
      <c r="AE29" s="457" t="s">
        <v>604</v>
      </c>
      <c r="AF29" s="455">
        <v>0</v>
      </c>
      <c r="AG29" s="458">
        <v>0</v>
      </c>
      <c r="AH29" s="460" t="s">
        <v>604</v>
      </c>
      <c r="AI29" s="455">
        <v>0</v>
      </c>
      <c r="AJ29" s="455"/>
      <c r="AK29" s="455"/>
      <c r="AL29" s="455">
        <v>0</v>
      </c>
      <c r="AM29" s="455"/>
      <c r="AN29" s="455"/>
      <c r="AO29" s="455">
        <v>0</v>
      </c>
      <c r="AP29" s="455"/>
      <c r="AQ29" s="455"/>
      <c r="AR29" s="455">
        <v>0</v>
      </c>
      <c r="AS29" s="455"/>
      <c r="AT29" s="455"/>
      <c r="AU29" s="455">
        <v>0</v>
      </c>
      <c r="AV29" s="455"/>
      <c r="AW29" s="455"/>
      <c r="AX29" s="455">
        <v>0</v>
      </c>
      <c r="AY29" s="453"/>
      <c r="AZ29" s="453"/>
      <c r="BA29" s="453">
        <f t="shared" si="0"/>
        <v>1</v>
      </c>
      <c r="BB29" s="453">
        <f t="shared" si="1"/>
        <v>1</v>
      </c>
      <c r="BC29" s="459">
        <f>+IF(BA29=0,+IF(BB29=0,"No programación, No avance",+IF(BB29&gt;0,+IF(BA29=0,BB29/P29))),BB29/BA29)</f>
        <v>1</v>
      </c>
      <c r="BD29" s="47"/>
    </row>
    <row r="30" spans="1:56" s="2" customFormat="1" ht="48">
      <c r="A30" s="718"/>
      <c r="B30" s="750"/>
      <c r="C30" s="685"/>
      <c r="D30" s="685"/>
      <c r="E30" s="624" t="s">
        <v>609</v>
      </c>
      <c r="F30" s="624" t="s">
        <v>531</v>
      </c>
      <c r="G30" s="624">
        <v>0.2</v>
      </c>
      <c r="H30" s="624" t="s">
        <v>101</v>
      </c>
      <c r="I30" s="624" t="s">
        <v>73</v>
      </c>
      <c r="J30" s="624" t="s">
        <v>72</v>
      </c>
      <c r="K30" s="624" t="s">
        <v>595</v>
      </c>
      <c r="L30" s="624" t="s">
        <v>590</v>
      </c>
      <c r="M30" s="625">
        <v>44197</v>
      </c>
      <c r="N30" s="625">
        <v>44561</v>
      </c>
      <c r="O30" s="624">
        <f>+R30+U30+X30+AA30+AD30+AG30+AJ30+AM30+AP30+AS30+AV30+AY30</f>
        <v>1</v>
      </c>
      <c r="P30" s="624">
        <v>1</v>
      </c>
      <c r="Q30" s="624">
        <v>0</v>
      </c>
      <c r="R30" s="455">
        <v>0</v>
      </c>
      <c r="S30" s="455"/>
      <c r="T30" s="455">
        <v>0</v>
      </c>
      <c r="U30" s="455">
        <v>0</v>
      </c>
      <c r="V30" s="455"/>
      <c r="W30" s="455">
        <v>0</v>
      </c>
      <c r="X30" s="455">
        <v>1</v>
      </c>
      <c r="Y30" s="457" t="s">
        <v>610</v>
      </c>
      <c r="Z30" s="455">
        <v>1</v>
      </c>
      <c r="AA30" s="455">
        <v>0</v>
      </c>
      <c r="AB30" s="457" t="s">
        <v>604</v>
      </c>
      <c r="AC30" s="455">
        <v>0</v>
      </c>
      <c r="AD30" s="455">
        <v>0</v>
      </c>
      <c r="AE30" s="457" t="s">
        <v>611</v>
      </c>
      <c r="AF30" s="455">
        <v>0</v>
      </c>
      <c r="AG30" s="458">
        <v>0</v>
      </c>
      <c r="AH30" s="460" t="s">
        <v>612</v>
      </c>
      <c r="AI30" s="455">
        <v>0</v>
      </c>
      <c r="AJ30" s="455"/>
      <c r="AK30" s="455"/>
      <c r="AL30" s="455">
        <v>0</v>
      </c>
      <c r="AM30" s="455"/>
      <c r="AN30" s="455"/>
      <c r="AO30" s="455">
        <v>0</v>
      </c>
      <c r="AP30" s="455"/>
      <c r="AQ30" s="455"/>
      <c r="AR30" s="455">
        <v>0</v>
      </c>
      <c r="AS30" s="455"/>
      <c r="AT30" s="455"/>
      <c r="AU30" s="455">
        <v>0</v>
      </c>
      <c r="AV30" s="455"/>
      <c r="AW30" s="455"/>
      <c r="AX30" s="455">
        <v>0</v>
      </c>
      <c r="AY30" s="453"/>
      <c r="AZ30" s="453"/>
      <c r="BA30" s="453">
        <f t="shared" si="0"/>
        <v>1</v>
      </c>
      <c r="BB30" s="453">
        <f t="shared" si="1"/>
        <v>1</v>
      </c>
      <c r="BC30" s="459">
        <f>+IF(BA30=0,+IF(BB30=0,"No programación, No avance",+IF(BB30&gt;0,+IF(BA30=0,BB30/P30))),BB30/BA30)</f>
        <v>1</v>
      </c>
      <c r="BD30" s="47"/>
    </row>
    <row r="31" spans="1:56" s="2" customFormat="1" ht="48" customHeight="1">
      <c r="A31" s="718"/>
      <c r="B31" s="750"/>
      <c r="C31" s="685" t="s">
        <v>103</v>
      </c>
      <c r="D31" s="685" t="s">
        <v>614</v>
      </c>
      <c r="E31" s="624" t="s">
        <v>615</v>
      </c>
      <c r="F31" s="624" t="s">
        <v>472</v>
      </c>
      <c r="G31" s="624">
        <v>0.4</v>
      </c>
      <c r="H31" s="624" t="s">
        <v>104</v>
      </c>
      <c r="I31" s="624" t="s">
        <v>73</v>
      </c>
      <c r="J31" s="624" t="s">
        <v>72</v>
      </c>
      <c r="K31" s="624" t="s">
        <v>616</v>
      </c>
      <c r="L31" s="624" t="s">
        <v>617</v>
      </c>
      <c r="M31" s="625">
        <v>44197</v>
      </c>
      <c r="N31" s="625">
        <v>44561</v>
      </c>
      <c r="O31" s="624">
        <f>+R31+U31+X31+AA31+AD31+AG31+AJ31+AM31+AP31+AS31+AV31+AY31</f>
        <v>0</v>
      </c>
      <c r="P31" s="624">
        <v>1</v>
      </c>
      <c r="Q31" s="624">
        <v>0</v>
      </c>
      <c r="R31" s="455">
        <v>0</v>
      </c>
      <c r="S31" s="455"/>
      <c r="T31" s="455">
        <v>0</v>
      </c>
      <c r="U31" s="455">
        <v>0</v>
      </c>
      <c r="V31" s="463" t="s">
        <v>618</v>
      </c>
      <c r="W31" s="455">
        <v>0</v>
      </c>
      <c r="X31" s="455">
        <v>0</v>
      </c>
      <c r="Y31" s="457" t="s">
        <v>557</v>
      </c>
      <c r="Z31" s="455">
        <v>0</v>
      </c>
      <c r="AA31" s="455">
        <v>0</v>
      </c>
      <c r="AB31" s="457" t="s">
        <v>619</v>
      </c>
      <c r="AC31" s="455">
        <v>0</v>
      </c>
      <c r="AD31" s="455">
        <v>0</v>
      </c>
      <c r="AE31" s="457" t="s">
        <v>557</v>
      </c>
      <c r="AF31" s="455">
        <v>0</v>
      </c>
      <c r="AG31" s="458">
        <v>0</v>
      </c>
      <c r="AH31" s="460" t="s">
        <v>619</v>
      </c>
      <c r="AI31" s="455">
        <v>0</v>
      </c>
      <c r="AJ31" s="455"/>
      <c r="AK31" s="455"/>
      <c r="AL31" s="455">
        <v>0</v>
      </c>
      <c r="AM31" s="455"/>
      <c r="AN31" s="455"/>
      <c r="AO31" s="455">
        <v>0</v>
      </c>
      <c r="AP31" s="455"/>
      <c r="AQ31" s="455"/>
      <c r="AR31" s="455">
        <v>0</v>
      </c>
      <c r="AS31" s="455"/>
      <c r="AT31" s="455"/>
      <c r="AU31" s="455">
        <v>0</v>
      </c>
      <c r="AV31" s="455"/>
      <c r="AW31" s="455"/>
      <c r="AX31" s="455">
        <v>0</v>
      </c>
      <c r="AY31" s="453"/>
      <c r="AZ31" s="453"/>
      <c r="BA31" s="453">
        <f t="shared" si="0"/>
        <v>0</v>
      </c>
      <c r="BB31" s="453">
        <f t="shared" si="1"/>
        <v>0</v>
      </c>
      <c r="BC31" s="459" t="str">
        <f>+IF(BA31=0,+IF(BB31=0,"No programación, No avance",+IF(BB31&gt;0,+IF(BA31=0,BB31/P31))),BB31/BA31)</f>
        <v>No programación, No avance</v>
      </c>
      <c r="BD31" s="47"/>
    </row>
    <row r="32" spans="1:56" s="2" customFormat="1" ht="36" customHeight="1">
      <c r="A32" s="718"/>
      <c r="B32" s="750"/>
      <c r="C32" s="685"/>
      <c r="D32" s="685"/>
      <c r="E32" s="455" t="s">
        <v>621</v>
      </c>
      <c r="F32" s="455" t="s">
        <v>472</v>
      </c>
      <c r="G32" s="455">
        <v>0.3</v>
      </c>
      <c r="H32" s="455" t="s">
        <v>104</v>
      </c>
      <c r="I32" s="455" t="s">
        <v>73</v>
      </c>
      <c r="J32" s="455" t="s">
        <v>72</v>
      </c>
      <c r="K32" s="455" t="s">
        <v>622</v>
      </c>
      <c r="L32" s="455" t="s">
        <v>623</v>
      </c>
      <c r="M32" s="456">
        <v>44197</v>
      </c>
      <c r="N32" s="456">
        <v>44561</v>
      </c>
      <c r="O32" s="455">
        <f>+R32+U32+X32+AA32+AD32+AG32+AJ32+AM32+AP32+AS32+AV32+AY32</f>
        <v>0.68</v>
      </c>
      <c r="P32" s="455">
        <v>1</v>
      </c>
      <c r="Q32" s="455">
        <v>0</v>
      </c>
      <c r="R32" s="455">
        <v>0</v>
      </c>
      <c r="S32" s="455"/>
      <c r="T32" s="455">
        <v>0</v>
      </c>
      <c r="U32" s="455">
        <v>0</v>
      </c>
      <c r="V32" s="455"/>
      <c r="W32" s="455">
        <v>0</v>
      </c>
      <c r="X32" s="455">
        <v>0</v>
      </c>
      <c r="Y32" s="457" t="s">
        <v>624</v>
      </c>
      <c r="Z32" s="455">
        <v>0</v>
      </c>
      <c r="AA32" s="455">
        <v>0</v>
      </c>
      <c r="AB32" s="457" t="s">
        <v>625</v>
      </c>
      <c r="AC32" s="455">
        <v>1</v>
      </c>
      <c r="AD32" s="464">
        <v>0.68</v>
      </c>
      <c r="AE32" s="457" t="s">
        <v>626</v>
      </c>
      <c r="AF32" s="455">
        <v>0</v>
      </c>
      <c r="AG32" s="465">
        <v>0</v>
      </c>
      <c r="AH32" s="460" t="s">
        <v>627</v>
      </c>
      <c r="AI32" s="455">
        <v>0</v>
      </c>
      <c r="AJ32" s="455"/>
      <c r="AK32" s="455"/>
      <c r="AL32" s="455">
        <v>0</v>
      </c>
      <c r="AM32" s="455"/>
      <c r="AN32" s="455"/>
      <c r="AO32" s="455">
        <v>0</v>
      </c>
      <c r="AP32" s="455"/>
      <c r="AQ32" s="455"/>
      <c r="AR32" s="455">
        <v>0</v>
      </c>
      <c r="AS32" s="455"/>
      <c r="AT32" s="455"/>
      <c r="AU32" s="455">
        <v>0</v>
      </c>
      <c r="AV32" s="455"/>
      <c r="AW32" s="455"/>
      <c r="AX32" s="455">
        <v>0</v>
      </c>
      <c r="AY32" s="453"/>
      <c r="AZ32" s="453"/>
      <c r="BA32" s="453">
        <f t="shared" si="0"/>
        <v>1</v>
      </c>
      <c r="BB32" s="453">
        <f t="shared" si="1"/>
        <v>0.68</v>
      </c>
      <c r="BC32" s="459">
        <f>+IF(BA32=0,+IF(BB32=0,"No programación, No avance",+IF(BB32&gt;0,+IF(BA32=0,BB32/P32))),BB32/BA32)</f>
        <v>0.68</v>
      </c>
    </row>
    <row r="33" spans="1:56" s="2" customFormat="1" ht="66" customHeight="1">
      <c r="A33" s="718"/>
      <c r="B33" s="750"/>
      <c r="C33" s="685"/>
      <c r="D33" s="685"/>
      <c r="E33" s="455" t="s">
        <v>629</v>
      </c>
      <c r="F33" s="455" t="s">
        <v>472</v>
      </c>
      <c r="G33" s="455">
        <v>0.1</v>
      </c>
      <c r="H33" s="455" t="s">
        <v>104</v>
      </c>
      <c r="I33" s="455" t="s">
        <v>73</v>
      </c>
      <c r="J33" s="455" t="s">
        <v>72</v>
      </c>
      <c r="K33" s="455" t="s">
        <v>630</v>
      </c>
      <c r="L33" s="455" t="s">
        <v>617</v>
      </c>
      <c r="M33" s="456">
        <v>44197</v>
      </c>
      <c r="N33" s="456">
        <v>44561</v>
      </c>
      <c r="O33" s="455">
        <f>+R33+U33+X33+AA33+AD33+AG33+AJ33+AM33+AP33+AS33+AV33+AY33</f>
        <v>0.79999999999999993</v>
      </c>
      <c r="P33" s="455">
        <v>1</v>
      </c>
      <c r="Q33" s="455">
        <v>0</v>
      </c>
      <c r="R33" s="455">
        <v>0</v>
      </c>
      <c r="S33" s="455"/>
      <c r="T33" s="455">
        <v>0</v>
      </c>
      <c r="U33" s="455">
        <v>0</v>
      </c>
      <c r="V33" s="455"/>
      <c r="W33" s="455">
        <v>0</v>
      </c>
      <c r="X33" s="455">
        <v>0.23</v>
      </c>
      <c r="Y33" s="457" t="s">
        <v>631</v>
      </c>
      <c r="Z33" s="455">
        <v>0</v>
      </c>
      <c r="AA33" s="455">
        <v>0</v>
      </c>
      <c r="AB33" s="457" t="s">
        <v>632</v>
      </c>
      <c r="AC33" s="455">
        <v>0</v>
      </c>
      <c r="AD33" s="464">
        <v>0.36</v>
      </c>
      <c r="AE33" s="457" t="s">
        <v>633</v>
      </c>
      <c r="AF33" s="455">
        <v>0</v>
      </c>
      <c r="AG33" s="465">
        <v>0.21</v>
      </c>
      <c r="AH33" s="460" t="s">
        <v>634</v>
      </c>
      <c r="AI33" s="455">
        <v>1</v>
      </c>
      <c r="AJ33" s="455"/>
      <c r="AK33" s="455"/>
      <c r="AL33" s="455">
        <v>0</v>
      </c>
      <c r="AM33" s="455"/>
      <c r="AN33" s="455"/>
      <c r="AO33" s="455">
        <v>0</v>
      </c>
      <c r="AP33" s="455"/>
      <c r="AQ33" s="455"/>
      <c r="AR33" s="455">
        <v>0</v>
      </c>
      <c r="AS33" s="455"/>
      <c r="AT33" s="455"/>
      <c r="AU33" s="455">
        <v>0</v>
      </c>
      <c r="AV33" s="455"/>
      <c r="AW33" s="455"/>
      <c r="AX33" s="455">
        <v>0</v>
      </c>
      <c r="AY33" s="453"/>
      <c r="AZ33" s="453"/>
      <c r="BA33" s="453">
        <f t="shared" si="0"/>
        <v>0</v>
      </c>
      <c r="BB33" s="453">
        <f t="shared" si="1"/>
        <v>0.79999999999999993</v>
      </c>
      <c r="BC33" s="459">
        <f>+IF(BA33=0,+IF(BB33=0,"No programación, No avance",+IF(BB33&gt;0,+IF(BA33=0,BB33/P33))),BB33/BA33)</f>
        <v>0.79999999999999993</v>
      </c>
    </row>
    <row r="34" spans="1:56" s="2" customFormat="1" ht="60">
      <c r="A34" s="718"/>
      <c r="B34" s="750"/>
      <c r="C34" s="685"/>
      <c r="D34" s="685"/>
      <c r="E34" s="455" t="s">
        <v>636</v>
      </c>
      <c r="F34" s="455" t="s">
        <v>472</v>
      </c>
      <c r="G34" s="455">
        <v>0.1</v>
      </c>
      <c r="H34" s="455" t="s">
        <v>104</v>
      </c>
      <c r="I34" s="455" t="s">
        <v>73</v>
      </c>
      <c r="J34" s="455" t="s">
        <v>72</v>
      </c>
      <c r="K34" s="455" t="s">
        <v>637</v>
      </c>
      <c r="L34" s="455" t="s">
        <v>617</v>
      </c>
      <c r="M34" s="456">
        <v>44197</v>
      </c>
      <c r="N34" s="456">
        <v>44561</v>
      </c>
      <c r="O34" s="455">
        <f>+R34+U34+X34+AA34+AD34+AG34+AJ34+AM34+AP34+AS34+AV34+AY34</f>
        <v>0.67999999999999994</v>
      </c>
      <c r="P34" s="455">
        <v>1</v>
      </c>
      <c r="Q34" s="455">
        <v>0</v>
      </c>
      <c r="R34" s="455">
        <v>0</v>
      </c>
      <c r="S34" s="455"/>
      <c r="T34" s="455">
        <v>0</v>
      </c>
      <c r="U34" s="455">
        <v>0</v>
      </c>
      <c r="V34" s="455"/>
      <c r="W34" s="455">
        <v>0</v>
      </c>
      <c r="X34" s="455">
        <v>0.48</v>
      </c>
      <c r="Y34" s="457" t="s">
        <v>638</v>
      </c>
      <c r="Z34" s="455">
        <v>0</v>
      </c>
      <c r="AA34" s="455">
        <v>0</v>
      </c>
      <c r="AB34" s="457" t="s">
        <v>639</v>
      </c>
      <c r="AC34" s="455">
        <v>0</v>
      </c>
      <c r="AD34" s="464">
        <v>0.2</v>
      </c>
      <c r="AE34" s="457" t="s">
        <v>640</v>
      </c>
      <c r="AF34" s="455">
        <v>0</v>
      </c>
      <c r="AG34" s="465">
        <v>0</v>
      </c>
      <c r="AH34" s="460" t="s">
        <v>641</v>
      </c>
      <c r="AI34" s="455">
        <v>1</v>
      </c>
      <c r="AJ34" s="455"/>
      <c r="AK34" s="455"/>
      <c r="AL34" s="455">
        <v>0</v>
      </c>
      <c r="AM34" s="455"/>
      <c r="AN34" s="455"/>
      <c r="AO34" s="455">
        <v>0</v>
      </c>
      <c r="AP34" s="455"/>
      <c r="AQ34" s="455"/>
      <c r="AR34" s="455">
        <v>0</v>
      </c>
      <c r="AS34" s="455"/>
      <c r="AT34" s="455"/>
      <c r="AU34" s="455">
        <v>0</v>
      </c>
      <c r="AV34" s="455"/>
      <c r="AW34" s="455"/>
      <c r="AX34" s="455">
        <v>0</v>
      </c>
      <c r="AY34" s="453"/>
      <c r="AZ34" s="453"/>
      <c r="BA34" s="453">
        <f t="shared" si="0"/>
        <v>0</v>
      </c>
      <c r="BB34" s="453">
        <f t="shared" si="1"/>
        <v>0.67999999999999994</v>
      </c>
      <c r="BC34" s="459">
        <f>+IF(BA34=0,+IF(BB34=0,"No programación, No avance",+IF(BB34&gt;0,+IF(BA34=0,BB34/P34))),BB34/BA34)</f>
        <v>0.67999999999999994</v>
      </c>
    </row>
    <row r="35" spans="1:56" s="2" customFormat="1" ht="36" customHeight="1">
      <c r="A35" s="718"/>
      <c r="B35" s="750"/>
      <c r="C35" s="685"/>
      <c r="D35" s="685"/>
      <c r="E35" s="455" t="s">
        <v>643</v>
      </c>
      <c r="F35" s="455" t="s">
        <v>472</v>
      </c>
      <c r="G35" s="455">
        <v>0.1</v>
      </c>
      <c r="H35" s="455" t="s">
        <v>104</v>
      </c>
      <c r="I35" s="455" t="s">
        <v>73</v>
      </c>
      <c r="J35" s="455" t="s">
        <v>72</v>
      </c>
      <c r="K35" s="455" t="s">
        <v>643</v>
      </c>
      <c r="L35" s="455" t="s">
        <v>617</v>
      </c>
      <c r="M35" s="456">
        <v>44197</v>
      </c>
      <c r="N35" s="456">
        <v>44561</v>
      </c>
      <c r="O35" s="455">
        <f>+R35+U35+X35+AA35+AD35+AG35+AJ35+AM35+AP35+AS35+AV35+AY35</f>
        <v>0</v>
      </c>
      <c r="P35" s="455">
        <v>1</v>
      </c>
      <c r="Q35" s="455">
        <v>0</v>
      </c>
      <c r="R35" s="455">
        <v>0</v>
      </c>
      <c r="S35" s="455"/>
      <c r="T35" s="455">
        <v>0</v>
      </c>
      <c r="U35" s="455">
        <v>0</v>
      </c>
      <c r="V35" s="455"/>
      <c r="W35" s="455">
        <v>0</v>
      </c>
      <c r="X35" s="455">
        <v>0</v>
      </c>
      <c r="Y35" s="457" t="s">
        <v>644</v>
      </c>
      <c r="Z35" s="455">
        <v>0</v>
      </c>
      <c r="AA35" s="455">
        <v>0</v>
      </c>
      <c r="AB35" s="457" t="s">
        <v>644</v>
      </c>
      <c r="AC35" s="455">
        <v>0</v>
      </c>
      <c r="AD35" s="455">
        <v>0</v>
      </c>
      <c r="AE35" s="457" t="s">
        <v>557</v>
      </c>
      <c r="AF35" s="455">
        <v>0</v>
      </c>
      <c r="AG35" s="458">
        <v>0</v>
      </c>
      <c r="AH35" s="460" t="s">
        <v>557</v>
      </c>
      <c r="AI35" s="455">
        <v>1</v>
      </c>
      <c r="AJ35" s="455"/>
      <c r="AK35" s="455"/>
      <c r="AL35" s="455">
        <v>0</v>
      </c>
      <c r="AM35" s="455"/>
      <c r="AN35" s="455"/>
      <c r="AO35" s="455">
        <v>0</v>
      </c>
      <c r="AP35" s="455"/>
      <c r="AQ35" s="455"/>
      <c r="AR35" s="455">
        <v>0</v>
      </c>
      <c r="AS35" s="455"/>
      <c r="AT35" s="455"/>
      <c r="AU35" s="455">
        <v>0</v>
      </c>
      <c r="AV35" s="455"/>
      <c r="AW35" s="455"/>
      <c r="AX35" s="455">
        <v>0</v>
      </c>
      <c r="AY35" s="453"/>
      <c r="AZ35" s="453"/>
      <c r="BA35" s="453">
        <f t="shared" si="0"/>
        <v>0</v>
      </c>
      <c r="BB35" s="453">
        <f t="shared" si="1"/>
        <v>0</v>
      </c>
      <c r="BC35" s="459" t="str">
        <f>+IF(BA35=0,+IF(BB35=0,"No programación, No avance",+IF(BB35&gt;0,+IF(BA35=0,BB35/P35))),BB35/BA35)</f>
        <v>No programación, No avance</v>
      </c>
      <c r="BD35" s="47"/>
    </row>
    <row r="36" spans="1:56" s="2" customFormat="1" ht="40.5" customHeight="1">
      <c r="A36" s="718"/>
      <c r="B36" s="750"/>
      <c r="C36" s="685" t="s">
        <v>106</v>
      </c>
      <c r="D36" s="685" t="s">
        <v>646</v>
      </c>
      <c r="E36" s="455" t="s">
        <v>647</v>
      </c>
      <c r="F36" s="455" t="s">
        <v>472</v>
      </c>
      <c r="G36" s="455">
        <v>0.25</v>
      </c>
      <c r="H36" s="455" t="s">
        <v>648</v>
      </c>
      <c r="I36" s="455" t="s">
        <v>79</v>
      </c>
      <c r="J36" s="455" t="s">
        <v>78</v>
      </c>
      <c r="K36" s="455" t="s">
        <v>649</v>
      </c>
      <c r="L36" s="455" t="s">
        <v>650</v>
      </c>
      <c r="M36" s="456">
        <v>44197</v>
      </c>
      <c r="N36" s="456">
        <v>44561</v>
      </c>
      <c r="O36" s="455">
        <f>+R36+U36+X36+AA36+AD36+AG36+AJ36+AM36+AP36+AS36+AV36+AY36</f>
        <v>0.56000000000000005</v>
      </c>
      <c r="P36" s="455">
        <v>1</v>
      </c>
      <c r="Q36" s="455">
        <v>0</v>
      </c>
      <c r="R36" s="455">
        <v>0</v>
      </c>
      <c r="S36" s="455"/>
      <c r="T36" s="455">
        <v>0</v>
      </c>
      <c r="U36" s="466">
        <v>0</v>
      </c>
      <c r="V36" s="463" t="s">
        <v>651</v>
      </c>
      <c r="W36" s="455">
        <v>0</v>
      </c>
      <c r="X36" s="464">
        <v>0.08</v>
      </c>
      <c r="Y36" s="457" t="s">
        <v>652</v>
      </c>
      <c r="Z36" s="455">
        <v>0</v>
      </c>
      <c r="AA36" s="464">
        <v>0.1</v>
      </c>
      <c r="AB36" s="457" t="s">
        <v>653</v>
      </c>
      <c r="AC36" s="455">
        <v>0</v>
      </c>
      <c r="AD36" s="464">
        <v>0.22</v>
      </c>
      <c r="AE36" s="457" t="s">
        <v>654</v>
      </c>
      <c r="AF36" s="455">
        <v>0</v>
      </c>
      <c r="AG36" s="465">
        <v>0.16</v>
      </c>
      <c r="AH36" s="460" t="s">
        <v>655</v>
      </c>
      <c r="AI36" s="464">
        <v>1</v>
      </c>
      <c r="AJ36" s="455"/>
      <c r="AK36" s="455"/>
      <c r="AL36" s="455">
        <v>0</v>
      </c>
      <c r="AM36" s="455"/>
      <c r="AN36" s="455"/>
      <c r="AO36" s="455">
        <v>0</v>
      </c>
      <c r="AP36" s="455"/>
      <c r="AQ36" s="455"/>
      <c r="AR36" s="455">
        <v>0</v>
      </c>
      <c r="AS36" s="455"/>
      <c r="AT36" s="455"/>
      <c r="AU36" s="455">
        <v>0</v>
      </c>
      <c r="AV36" s="455"/>
      <c r="AW36" s="455"/>
      <c r="AX36" s="455">
        <v>0</v>
      </c>
      <c r="AY36" s="453"/>
      <c r="AZ36" s="453"/>
      <c r="BA36" s="453">
        <f t="shared" si="0"/>
        <v>0</v>
      </c>
      <c r="BB36" s="453">
        <f t="shared" si="1"/>
        <v>0.56000000000000005</v>
      </c>
      <c r="BC36" s="459">
        <f>+IF(BA36=0,+IF(BB36=0,"No programación, No avance",+IF(BB36&gt;0,+IF(BA36=0,BB36/P36))),BB36/BA36)</f>
        <v>0.56000000000000005</v>
      </c>
    </row>
    <row r="37" spans="1:56" s="2" customFormat="1" ht="60" customHeight="1">
      <c r="A37" s="718"/>
      <c r="B37" s="750"/>
      <c r="C37" s="685"/>
      <c r="D37" s="685"/>
      <c r="E37" s="455" t="s">
        <v>657</v>
      </c>
      <c r="F37" s="455" t="s">
        <v>472</v>
      </c>
      <c r="G37" s="455">
        <v>0.25</v>
      </c>
      <c r="H37" s="455" t="s">
        <v>648</v>
      </c>
      <c r="I37" s="455" t="s">
        <v>79</v>
      </c>
      <c r="J37" s="455" t="s">
        <v>78</v>
      </c>
      <c r="K37" s="455" t="s">
        <v>658</v>
      </c>
      <c r="L37" s="455" t="s">
        <v>650</v>
      </c>
      <c r="M37" s="456">
        <v>44197</v>
      </c>
      <c r="N37" s="456">
        <v>44561</v>
      </c>
      <c r="O37" s="455">
        <f>+R37+U37+X37+AA37+AD37+AG37+AJ37+AM37+AP37+AS37+AV37+AY37</f>
        <v>0.6100000000000001</v>
      </c>
      <c r="P37" s="455">
        <v>1</v>
      </c>
      <c r="Q37" s="455">
        <v>0</v>
      </c>
      <c r="R37" s="455">
        <v>0</v>
      </c>
      <c r="S37" s="455"/>
      <c r="T37" s="455">
        <v>0</v>
      </c>
      <c r="U37" s="466">
        <v>0</v>
      </c>
      <c r="V37" s="463" t="s">
        <v>659</v>
      </c>
      <c r="W37" s="455">
        <v>0</v>
      </c>
      <c r="X37" s="464">
        <v>0.12</v>
      </c>
      <c r="Y37" s="457" t="s">
        <v>660</v>
      </c>
      <c r="Z37" s="455">
        <v>0</v>
      </c>
      <c r="AA37" s="464">
        <v>7.0000000000000007E-2</v>
      </c>
      <c r="AB37" s="457" t="s">
        <v>661</v>
      </c>
      <c r="AC37" s="455">
        <v>0</v>
      </c>
      <c r="AD37" s="464">
        <v>0.28000000000000003</v>
      </c>
      <c r="AE37" s="457" t="s">
        <v>662</v>
      </c>
      <c r="AF37" s="455">
        <v>0</v>
      </c>
      <c r="AG37" s="455">
        <v>0.14000000000000001</v>
      </c>
      <c r="AH37" s="467" t="s">
        <v>663</v>
      </c>
      <c r="AI37" s="455">
        <v>0</v>
      </c>
      <c r="AJ37" s="455"/>
      <c r="AK37" s="455"/>
      <c r="AL37" s="455">
        <v>0</v>
      </c>
      <c r="AM37" s="455"/>
      <c r="AN37" s="455"/>
      <c r="AO37" s="455">
        <v>0</v>
      </c>
      <c r="AP37" s="455"/>
      <c r="AQ37" s="455"/>
      <c r="AR37" s="464">
        <v>0</v>
      </c>
      <c r="AS37" s="455"/>
      <c r="AT37" s="455"/>
      <c r="AU37" s="455">
        <v>0</v>
      </c>
      <c r="AV37" s="455"/>
      <c r="AW37" s="455"/>
      <c r="AX37" s="464">
        <v>1</v>
      </c>
      <c r="AY37" s="453"/>
      <c r="AZ37" s="453"/>
      <c r="BA37" s="453">
        <f t="shared" si="0"/>
        <v>0</v>
      </c>
      <c r="BB37" s="453">
        <f t="shared" si="1"/>
        <v>0.6100000000000001</v>
      </c>
      <c r="BC37" s="459">
        <f>+IF(BA37=0,+IF(BB37=0,"No programación, No avance",+IF(BB37&gt;0,+IF(BA37=0,BB37/P37))),BB37/BA37)</f>
        <v>0.6100000000000001</v>
      </c>
    </row>
    <row r="38" spans="1:56" s="2" customFormat="1" ht="62.25" customHeight="1">
      <c r="A38" s="718"/>
      <c r="B38" s="750"/>
      <c r="C38" s="685"/>
      <c r="D38" s="685"/>
      <c r="E38" s="455" t="s">
        <v>665</v>
      </c>
      <c r="F38" s="455" t="s">
        <v>472</v>
      </c>
      <c r="G38" s="455">
        <v>0.25</v>
      </c>
      <c r="H38" s="455" t="s">
        <v>648</v>
      </c>
      <c r="I38" s="455" t="s">
        <v>79</v>
      </c>
      <c r="J38" s="455" t="s">
        <v>78</v>
      </c>
      <c r="K38" s="455" t="s">
        <v>666</v>
      </c>
      <c r="L38" s="455" t="s">
        <v>650</v>
      </c>
      <c r="M38" s="456">
        <v>44197</v>
      </c>
      <c r="N38" s="456">
        <v>44561</v>
      </c>
      <c r="O38" s="455">
        <f>+R38+U38+X38+AA38+AD38+AG38+AJ38+AM38+AP38+AS38+AV38+AY38</f>
        <v>0.36</v>
      </c>
      <c r="P38" s="455">
        <v>1</v>
      </c>
      <c r="Q38" s="455">
        <v>0</v>
      </c>
      <c r="R38" s="455">
        <v>0</v>
      </c>
      <c r="S38" s="455"/>
      <c r="T38" s="455">
        <v>0</v>
      </c>
      <c r="U38" s="466">
        <v>0</v>
      </c>
      <c r="V38" s="463" t="s">
        <v>667</v>
      </c>
      <c r="W38" s="455">
        <v>0</v>
      </c>
      <c r="X38" s="464">
        <v>0.27</v>
      </c>
      <c r="Y38" s="457" t="s">
        <v>668</v>
      </c>
      <c r="Z38" s="455">
        <v>0</v>
      </c>
      <c r="AA38" s="464">
        <v>0.05</v>
      </c>
      <c r="AB38" s="457" t="s">
        <v>669</v>
      </c>
      <c r="AC38" s="455">
        <v>0</v>
      </c>
      <c r="AD38" s="464">
        <v>0.04</v>
      </c>
      <c r="AE38" s="457" t="s">
        <v>670</v>
      </c>
      <c r="AF38" s="455">
        <v>0</v>
      </c>
      <c r="AG38" s="464">
        <v>0</v>
      </c>
      <c r="AH38" s="468" t="s">
        <v>671</v>
      </c>
      <c r="AI38" s="455">
        <v>0</v>
      </c>
      <c r="AJ38" s="455"/>
      <c r="AK38" s="455"/>
      <c r="AL38" s="455">
        <v>0</v>
      </c>
      <c r="AM38" s="455"/>
      <c r="AN38" s="455"/>
      <c r="AO38" s="455">
        <v>0</v>
      </c>
      <c r="AP38" s="455"/>
      <c r="AQ38" s="455"/>
      <c r="AR38" s="464">
        <v>0</v>
      </c>
      <c r="AS38" s="455"/>
      <c r="AT38" s="455"/>
      <c r="AU38" s="464">
        <v>1</v>
      </c>
      <c r="AV38" s="455"/>
      <c r="AW38" s="455"/>
      <c r="AX38" s="455">
        <v>0</v>
      </c>
      <c r="AY38" s="453"/>
      <c r="AZ38" s="453"/>
      <c r="BA38" s="453">
        <f t="shared" si="0"/>
        <v>0</v>
      </c>
      <c r="BB38" s="453">
        <f t="shared" si="1"/>
        <v>0.36</v>
      </c>
      <c r="BC38" s="459">
        <f>+IF(BA38=0,+IF(BB38=0,"No programación, No avance",+IF(BB38&gt;0,+IF(BA38=0,BB38/P38))),BB38/BA38)</f>
        <v>0.36</v>
      </c>
    </row>
    <row r="39" spans="1:56" s="2" customFormat="1" ht="62.25" customHeight="1">
      <c r="A39" s="718"/>
      <c r="B39" s="750"/>
      <c r="C39" s="685"/>
      <c r="D39" s="685"/>
      <c r="E39" s="455" t="s">
        <v>673</v>
      </c>
      <c r="F39" s="455" t="s">
        <v>472</v>
      </c>
      <c r="G39" s="455">
        <v>0.25</v>
      </c>
      <c r="H39" s="455" t="s">
        <v>648</v>
      </c>
      <c r="I39" s="455" t="s">
        <v>79</v>
      </c>
      <c r="J39" s="455" t="s">
        <v>78</v>
      </c>
      <c r="K39" s="455" t="s">
        <v>674</v>
      </c>
      <c r="L39" s="455" t="s">
        <v>650</v>
      </c>
      <c r="M39" s="456">
        <v>44197</v>
      </c>
      <c r="N39" s="456">
        <v>44561</v>
      </c>
      <c r="O39" s="455">
        <f>+R39+U39+X39+AA39+AD39+AG39+AJ39+AM39+AP39+AS39+AV39+AY39</f>
        <v>0.19</v>
      </c>
      <c r="P39" s="455">
        <v>1</v>
      </c>
      <c r="Q39" s="455">
        <v>0</v>
      </c>
      <c r="R39" s="455">
        <v>0</v>
      </c>
      <c r="S39" s="455"/>
      <c r="T39" s="455">
        <v>0</v>
      </c>
      <c r="U39" s="466">
        <v>0</v>
      </c>
      <c r="V39" s="463" t="s">
        <v>675</v>
      </c>
      <c r="W39" s="455">
        <v>0</v>
      </c>
      <c r="X39" s="464">
        <v>0.09</v>
      </c>
      <c r="Y39" s="457" t="s">
        <v>676</v>
      </c>
      <c r="Z39" s="455">
        <v>0</v>
      </c>
      <c r="AA39" s="464">
        <v>0.04</v>
      </c>
      <c r="AB39" s="457" t="s">
        <v>677</v>
      </c>
      <c r="AC39" s="455">
        <v>0</v>
      </c>
      <c r="AD39" s="464">
        <v>0.06</v>
      </c>
      <c r="AE39" s="457" t="s">
        <v>678</v>
      </c>
      <c r="AF39" s="455">
        <v>0</v>
      </c>
      <c r="AG39" s="469">
        <v>0</v>
      </c>
      <c r="AH39" s="470" t="s">
        <v>679</v>
      </c>
      <c r="AI39" s="455">
        <v>0</v>
      </c>
      <c r="AJ39" s="455"/>
      <c r="AK39" s="455"/>
      <c r="AL39" s="455">
        <v>0</v>
      </c>
      <c r="AM39" s="455"/>
      <c r="AN39" s="455"/>
      <c r="AO39" s="455">
        <v>0</v>
      </c>
      <c r="AP39" s="455"/>
      <c r="AQ39" s="455"/>
      <c r="AR39" s="464">
        <v>0</v>
      </c>
      <c r="AS39" s="455"/>
      <c r="AT39" s="455"/>
      <c r="AU39" s="455">
        <v>0</v>
      </c>
      <c r="AV39" s="455"/>
      <c r="AW39" s="455"/>
      <c r="AX39" s="464">
        <v>1</v>
      </c>
      <c r="AY39" s="453"/>
      <c r="AZ39" s="453"/>
      <c r="BA39" s="453">
        <f t="shared" si="0"/>
        <v>0</v>
      </c>
      <c r="BB39" s="453">
        <f t="shared" si="1"/>
        <v>0.19</v>
      </c>
      <c r="BC39" s="459">
        <f>+IF(BA39=0,+IF(BB39=0,"No programación, No avance",+IF(BB39&gt;0,+IF(BA39=0,BB39/P39))),BB39/BA39)</f>
        <v>0.19</v>
      </c>
    </row>
    <row r="40" spans="1:56" s="2" customFormat="1" ht="41.25" customHeight="1">
      <c r="A40" s="718"/>
      <c r="B40" s="750"/>
      <c r="C40" s="455" t="s">
        <v>85</v>
      </c>
      <c r="D40" s="455" t="s">
        <v>681</v>
      </c>
      <c r="E40" s="455" t="s">
        <v>682</v>
      </c>
      <c r="F40" s="455" t="s">
        <v>683</v>
      </c>
      <c r="G40" s="455">
        <v>1</v>
      </c>
      <c r="H40" s="455" t="s">
        <v>91</v>
      </c>
      <c r="I40" s="455" t="s">
        <v>73</v>
      </c>
      <c r="J40" s="455" t="s">
        <v>72</v>
      </c>
      <c r="K40" s="455" t="s">
        <v>562</v>
      </c>
      <c r="L40" s="455" t="s">
        <v>549</v>
      </c>
      <c r="M40" s="456">
        <v>44197</v>
      </c>
      <c r="N40" s="456">
        <v>44561</v>
      </c>
      <c r="O40" s="455">
        <f>X40</f>
        <v>1447</v>
      </c>
      <c r="P40" s="471">
        <v>4532</v>
      </c>
      <c r="Q40" s="471">
        <v>0</v>
      </c>
      <c r="R40" s="471">
        <v>0</v>
      </c>
      <c r="S40" s="471"/>
      <c r="T40" s="471">
        <v>0</v>
      </c>
      <c r="U40" s="471">
        <v>0</v>
      </c>
      <c r="V40" s="472"/>
      <c r="W40" s="471">
        <v>0</v>
      </c>
      <c r="X40" s="471">
        <v>1447</v>
      </c>
      <c r="Y40" s="473" t="s">
        <v>684</v>
      </c>
      <c r="Z40" s="471">
        <v>0</v>
      </c>
      <c r="AA40" s="474">
        <v>1606</v>
      </c>
      <c r="AB40" s="475" t="s">
        <v>685</v>
      </c>
      <c r="AC40" s="471">
        <v>0</v>
      </c>
      <c r="AD40" s="455">
        <v>1330</v>
      </c>
      <c r="AE40" s="457" t="s">
        <v>686</v>
      </c>
      <c r="AF40" s="471">
        <v>0</v>
      </c>
      <c r="AG40" s="476">
        <v>801</v>
      </c>
      <c r="AH40" s="477" t="s">
        <v>687</v>
      </c>
      <c r="AI40" s="471">
        <v>0</v>
      </c>
      <c r="AJ40" s="471"/>
      <c r="AK40" s="471"/>
      <c r="AL40" s="471">
        <v>0</v>
      </c>
      <c r="AM40" s="471"/>
      <c r="AN40" s="471"/>
      <c r="AO40" s="471">
        <v>0</v>
      </c>
      <c r="AP40" s="471"/>
      <c r="AQ40" s="471"/>
      <c r="AR40" s="471">
        <v>0</v>
      </c>
      <c r="AS40" s="471"/>
      <c r="AT40" s="471"/>
      <c r="AU40" s="471">
        <v>0</v>
      </c>
      <c r="AV40" s="471"/>
      <c r="AW40" s="471"/>
      <c r="AX40" s="471">
        <v>4532</v>
      </c>
      <c r="AY40" s="453"/>
      <c r="AZ40" s="453"/>
      <c r="BA40" s="453">
        <f t="shared" si="0"/>
        <v>0</v>
      </c>
      <c r="BB40" s="453">
        <f t="shared" si="1"/>
        <v>5184</v>
      </c>
      <c r="BC40" s="459">
        <f>+IF(BA40=0,+IF(BB40=0,"No programación, No avance",+IF(BB40&gt;0,+IF(BA40=0,BB40/P40))),BB40/BA40)</f>
        <v>1.1438658428949691</v>
      </c>
    </row>
    <row r="41" spans="1:56" s="2" customFormat="1" ht="62.25" customHeight="1">
      <c r="A41" s="718"/>
      <c r="B41" s="750"/>
      <c r="C41" s="455" t="s">
        <v>100</v>
      </c>
      <c r="D41" s="455" t="s">
        <v>579</v>
      </c>
      <c r="E41" s="455" t="s">
        <v>689</v>
      </c>
      <c r="F41" s="455" t="s">
        <v>690</v>
      </c>
      <c r="G41" s="455">
        <v>1</v>
      </c>
      <c r="H41" s="455" t="s">
        <v>101</v>
      </c>
      <c r="I41" s="455" t="s">
        <v>73</v>
      </c>
      <c r="J41" s="455" t="s">
        <v>72</v>
      </c>
      <c r="K41" s="455" t="s">
        <v>691</v>
      </c>
      <c r="L41" s="455" t="s">
        <v>549</v>
      </c>
      <c r="M41" s="456">
        <v>44197</v>
      </c>
      <c r="N41" s="456">
        <v>44561</v>
      </c>
      <c r="O41" s="455">
        <f t="shared" ref="O41:O44" si="2">X41</f>
        <v>0</v>
      </c>
      <c r="P41" s="455">
        <v>1</v>
      </c>
      <c r="Q41" s="455">
        <v>0</v>
      </c>
      <c r="R41" s="455">
        <v>0</v>
      </c>
      <c r="S41" s="455"/>
      <c r="T41" s="455">
        <v>0</v>
      </c>
      <c r="U41" s="455">
        <v>0</v>
      </c>
      <c r="V41" s="463"/>
      <c r="W41" s="455">
        <v>0</v>
      </c>
      <c r="X41" s="464">
        <v>0</v>
      </c>
      <c r="Y41" s="457"/>
      <c r="Z41" s="455">
        <v>0</v>
      </c>
      <c r="AA41" s="474">
        <v>0</v>
      </c>
      <c r="AB41" s="475" t="s">
        <v>692</v>
      </c>
      <c r="AC41" s="455">
        <v>0</v>
      </c>
      <c r="AD41" s="455">
        <v>0</v>
      </c>
      <c r="AE41" s="457" t="s">
        <v>693</v>
      </c>
      <c r="AF41" s="455">
        <v>0</v>
      </c>
      <c r="AG41" s="478">
        <v>0</v>
      </c>
      <c r="AH41" s="479" t="s">
        <v>692</v>
      </c>
      <c r="AI41" s="455">
        <v>0</v>
      </c>
      <c r="AJ41" s="455"/>
      <c r="AK41" s="455"/>
      <c r="AL41" s="455">
        <v>0</v>
      </c>
      <c r="AM41" s="455"/>
      <c r="AN41" s="455"/>
      <c r="AO41" s="455">
        <v>0</v>
      </c>
      <c r="AP41" s="455"/>
      <c r="AQ41" s="455"/>
      <c r="AR41" s="464">
        <v>0</v>
      </c>
      <c r="AS41" s="455"/>
      <c r="AT41" s="455"/>
      <c r="AU41" s="455">
        <v>0</v>
      </c>
      <c r="AV41" s="455"/>
      <c r="AW41" s="455"/>
      <c r="AX41" s="464">
        <v>0.01</v>
      </c>
      <c r="AY41" s="453"/>
      <c r="AZ41" s="453"/>
      <c r="BA41" s="453">
        <f t="shared" si="0"/>
        <v>0</v>
      </c>
      <c r="BB41" s="453">
        <f t="shared" si="1"/>
        <v>0</v>
      </c>
      <c r="BC41" s="459" t="str">
        <f>+IF(BA41=0,+IF(BB41=0,"No programación, No avance",+IF(BB41&gt;0,+IF(BA41=0,BB41/P41))),BB41/BA41)</f>
        <v>No programación, No avance</v>
      </c>
    </row>
    <row r="42" spans="1:56" s="2" customFormat="1" ht="62.25" customHeight="1">
      <c r="A42" s="718"/>
      <c r="B42" s="750"/>
      <c r="C42" s="455" t="s">
        <v>85</v>
      </c>
      <c r="D42" s="455" t="s">
        <v>681</v>
      </c>
      <c r="E42" s="455" t="s">
        <v>695</v>
      </c>
      <c r="F42" s="455" t="s">
        <v>690</v>
      </c>
      <c r="G42" s="455">
        <v>1</v>
      </c>
      <c r="H42" s="455" t="s">
        <v>91</v>
      </c>
      <c r="I42" s="455" t="s">
        <v>73</v>
      </c>
      <c r="J42" s="455" t="s">
        <v>72</v>
      </c>
      <c r="K42" s="455" t="s">
        <v>562</v>
      </c>
      <c r="L42" s="455" t="s">
        <v>549</v>
      </c>
      <c r="M42" s="456">
        <v>44197</v>
      </c>
      <c r="N42" s="456">
        <v>44561</v>
      </c>
      <c r="O42" s="455">
        <f t="shared" si="2"/>
        <v>0</v>
      </c>
      <c r="P42" s="455">
        <v>11470</v>
      </c>
      <c r="Q42" s="455">
        <v>0</v>
      </c>
      <c r="R42" s="455">
        <v>0</v>
      </c>
      <c r="S42" s="455"/>
      <c r="T42" s="455">
        <v>0</v>
      </c>
      <c r="U42" s="455">
        <v>0</v>
      </c>
      <c r="V42" s="463"/>
      <c r="W42" s="455">
        <v>0</v>
      </c>
      <c r="X42" s="464">
        <v>0</v>
      </c>
      <c r="Y42" s="457"/>
      <c r="Z42" s="455">
        <v>0</v>
      </c>
      <c r="AA42" s="474">
        <v>395</v>
      </c>
      <c r="AB42" s="475" t="s">
        <v>696</v>
      </c>
      <c r="AC42" s="455">
        <v>0</v>
      </c>
      <c r="AD42" s="455">
        <v>345</v>
      </c>
      <c r="AE42" s="457" t="s">
        <v>697</v>
      </c>
      <c r="AF42" s="455">
        <v>0</v>
      </c>
      <c r="AG42" s="478">
        <v>335</v>
      </c>
      <c r="AH42" s="479" t="s">
        <v>2861</v>
      </c>
      <c r="AI42" s="455">
        <v>0</v>
      </c>
      <c r="AJ42" s="455"/>
      <c r="AK42" s="455"/>
      <c r="AL42" s="455">
        <v>0</v>
      </c>
      <c r="AM42" s="455"/>
      <c r="AN42" s="455"/>
      <c r="AO42" s="455">
        <v>0</v>
      </c>
      <c r="AP42" s="455"/>
      <c r="AQ42" s="455"/>
      <c r="AR42" s="464">
        <v>0</v>
      </c>
      <c r="AS42" s="455"/>
      <c r="AT42" s="455"/>
      <c r="AU42" s="455">
        <v>0</v>
      </c>
      <c r="AV42" s="455"/>
      <c r="AW42" s="455"/>
      <c r="AX42" s="455">
        <v>11470</v>
      </c>
      <c r="AY42" s="453"/>
      <c r="AZ42" s="453"/>
      <c r="BA42" s="453">
        <f t="shared" si="0"/>
        <v>0</v>
      </c>
      <c r="BB42" s="453">
        <f t="shared" si="1"/>
        <v>1075</v>
      </c>
      <c r="BC42" s="459">
        <f>+IF(BA42=0,+IF(BB42=0,"No programación, No avance",+IF(BB42&gt;0,+IF(BA42=0,BB42/P42))),BB42/BA42)</f>
        <v>9.3722755013077599E-2</v>
      </c>
    </row>
    <row r="43" spans="1:56" s="2" customFormat="1" ht="62.25" customHeight="1">
      <c r="A43" s="718"/>
      <c r="B43" s="750"/>
      <c r="C43" s="685" t="s">
        <v>108</v>
      </c>
      <c r="D43" s="685" t="s">
        <v>109</v>
      </c>
      <c r="E43" s="455" t="s">
        <v>700</v>
      </c>
      <c r="F43" s="455" t="s">
        <v>690</v>
      </c>
      <c r="G43" s="455">
        <v>1</v>
      </c>
      <c r="H43" s="455" t="s">
        <v>91</v>
      </c>
      <c r="I43" s="455" t="s">
        <v>79</v>
      </c>
      <c r="J43" s="455" t="s">
        <v>78</v>
      </c>
      <c r="K43" s="455" t="s">
        <v>701</v>
      </c>
      <c r="L43" s="455" t="s">
        <v>549</v>
      </c>
      <c r="M43" s="456">
        <v>44197</v>
      </c>
      <c r="N43" s="456">
        <v>44561</v>
      </c>
      <c r="O43" s="455">
        <f t="shared" si="2"/>
        <v>0</v>
      </c>
      <c r="P43" s="480">
        <v>0.28170000000000001</v>
      </c>
      <c r="Q43" s="455">
        <v>0</v>
      </c>
      <c r="R43" s="455">
        <v>0</v>
      </c>
      <c r="S43" s="455"/>
      <c r="T43" s="455">
        <v>0</v>
      </c>
      <c r="U43" s="466">
        <v>0</v>
      </c>
      <c r="V43" s="463"/>
      <c r="W43" s="455">
        <v>0</v>
      </c>
      <c r="X43" s="464">
        <v>0</v>
      </c>
      <c r="Y43" s="457"/>
      <c r="Z43" s="455">
        <v>0</v>
      </c>
      <c r="AA43" s="481">
        <v>0</v>
      </c>
      <c r="AB43" s="475" t="s">
        <v>702</v>
      </c>
      <c r="AC43" s="455">
        <v>0</v>
      </c>
      <c r="AD43" s="482">
        <v>0</v>
      </c>
      <c r="AE43" s="457" t="s">
        <v>703</v>
      </c>
      <c r="AF43" s="455">
        <v>0</v>
      </c>
      <c r="AG43" s="478">
        <v>0</v>
      </c>
      <c r="AH43" s="479" t="s">
        <v>703</v>
      </c>
      <c r="AI43" s="455">
        <v>0</v>
      </c>
      <c r="AJ43" s="455"/>
      <c r="AK43" s="455"/>
      <c r="AL43" s="455">
        <v>0</v>
      </c>
      <c r="AM43" s="455"/>
      <c r="AN43" s="455"/>
      <c r="AO43" s="455">
        <v>0</v>
      </c>
      <c r="AP43" s="455"/>
      <c r="AQ43" s="455"/>
      <c r="AR43" s="464">
        <v>0</v>
      </c>
      <c r="AS43" s="455"/>
      <c r="AT43" s="455"/>
      <c r="AU43" s="455">
        <v>0</v>
      </c>
      <c r="AV43" s="455"/>
      <c r="AW43" s="455"/>
      <c r="AX43" s="480">
        <v>0.28170000000000001</v>
      </c>
      <c r="AY43" s="453"/>
      <c r="AZ43" s="453"/>
      <c r="BA43" s="453">
        <f t="shared" si="0"/>
        <v>0</v>
      </c>
      <c r="BB43" s="453">
        <f t="shared" si="1"/>
        <v>0</v>
      </c>
      <c r="BC43" s="459" t="str">
        <f>+IF(BA43=0,+IF(BB43=0,"No programación, No avance",+IF(BB43&gt;0,+IF(BA43=0,BB43/P43))),BB43/BA43)</f>
        <v>No programación, No avance</v>
      </c>
      <c r="BD43" s="47"/>
    </row>
    <row r="44" spans="1:56" s="2" customFormat="1" ht="62.25" customHeight="1" thickBot="1">
      <c r="A44" s="719"/>
      <c r="B44" s="751"/>
      <c r="C44" s="699"/>
      <c r="D44" s="699"/>
      <c r="E44" s="483" t="s">
        <v>705</v>
      </c>
      <c r="F44" s="483" t="s">
        <v>690</v>
      </c>
      <c r="G44" s="483">
        <v>1</v>
      </c>
      <c r="H44" s="483" t="s">
        <v>91</v>
      </c>
      <c r="I44" s="483" t="s">
        <v>79</v>
      </c>
      <c r="J44" s="483" t="s">
        <v>78</v>
      </c>
      <c r="K44" s="483" t="s">
        <v>701</v>
      </c>
      <c r="L44" s="483" t="s">
        <v>549</v>
      </c>
      <c r="M44" s="484">
        <v>44197</v>
      </c>
      <c r="N44" s="484">
        <v>44561</v>
      </c>
      <c r="O44" s="483">
        <f t="shared" si="2"/>
        <v>0</v>
      </c>
      <c r="P44" s="485">
        <v>0.37090000000000001</v>
      </c>
      <c r="Q44" s="483">
        <v>0</v>
      </c>
      <c r="R44" s="483">
        <v>0</v>
      </c>
      <c r="S44" s="483"/>
      <c r="T44" s="483">
        <v>0</v>
      </c>
      <c r="U44" s="487">
        <v>0</v>
      </c>
      <c r="V44" s="488"/>
      <c r="W44" s="483">
        <v>0</v>
      </c>
      <c r="X44" s="489">
        <v>0</v>
      </c>
      <c r="Y44" s="490"/>
      <c r="Z44" s="483">
        <v>0</v>
      </c>
      <c r="AA44" s="491">
        <v>0</v>
      </c>
      <c r="AB44" s="492" t="s">
        <v>706</v>
      </c>
      <c r="AC44" s="483">
        <v>0</v>
      </c>
      <c r="AD44" s="493">
        <v>0</v>
      </c>
      <c r="AE44" s="490" t="s">
        <v>703</v>
      </c>
      <c r="AF44" s="483">
        <v>0</v>
      </c>
      <c r="AG44" s="494">
        <v>0</v>
      </c>
      <c r="AH44" s="479" t="s">
        <v>703</v>
      </c>
      <c r="AI44" s="483">
        <v>0</v>
      </c>
      <c r="AJ44" s="483"/>
      <c r="AK44" s="483"/>
      <c r="AL44" s="483">
        <v>0</v>
      </c>
      <c r="AM44" s="483"/>
      <c r="AN44" s="483"/>
      <c r="AO44" s="483">
        <v>0</v>
      </c>
      <c r="AP44" s="483"/>
      <c r="AQ44" s="483"/>
      <c r="AR44" s="489">
        <v>0</v>
      </c>
      <c r="AS44" s="483"/>
      <c r="AT44" s="483"/>
      <c r="AU44" s="483">
        <v>0</v>
      </c>
      <c r="AV44" s="483"/>
      <c r="AW44" s="483"/>
      <c r="AX44" s="485">
        <v>0.37090000000000001</v>
      </c>
      <c r="AY44" s="486"/>
      <c r="AZ44" s="486"/>
      <c r="BA44" s="453">
        <f t="shared" si="0"/>
        <v>0</v>
      </c>
      <c r="BB44" s="453">
        <f t="shared" si="1"/>
        <v>0</v>
      </c>
      <c r="BC44" s="495" t="str">
        <f>+IF(BA44=0,+IF(BB44=0,"No programación, No avance",+IF(BB44&gt;0,+IF(BA44=0,BB44/P44))),BB44/BA44)</f>
        <v>No programación, No avance</v>
      </c>
      <c r="BD44" s="47"/>
    </row>
    <row r="45" spans="1:56" s="2" customFormat="1" ht="60.75" customHeight="1">
      <c r="A45" s="720" t="s">
        <v>15</v>
      </c>
      <c r="B45" s="752">
        <v>39.9</v>
      </c>
      <c r="C45" s="705" t="s">
        <v>112</v>
      </c>
      <c r="D45" s="705" t="s">
        <v>708</v>
      </c>
      <c r="E45" s="429" t="s">
        <v>709</v>
      </c>
      <c r="F45" s="429" t="s">
        <v>531</v>
      </c>
      <c r="G45" s="429">
        <v>0.15</v>
      </c>
      <c r="H45" s="429" t="s">
        <v>710</v>
      </c>
      <c r="I45" s="429" t="s">
        <v>73</v>
      </c>
      <c r="J45" s="429" t="s">
        <v>711</v>
      </c>
      <c r="K45" s="429" t="s">
        <v>712</v>
      </c>
      <c r="L45" s="429" t="s">
        <v>713</v>
      </c>
      <c r="M45" s="430">
        <v>44197</v>
      </c>
      <c r="N45" s="430">
        <v>44561</v>
      </c>
      <c r="O45" s="429">
        <f>+R45+U45+X45+AA45+AD45+AG45+AJ45+AM45+AP45+AS45+AV45+AY45</f>
        <v>2</v>
      </c>
      <c r="P45" s="429">
        <v>4</v>
      </c>
      <c r="Q45" s="429">
        <v>0</v>
      </c>
      <c r="R45" s="429">
        <v>0</v>
      </c>
      <c r="S45" s="429" t="s">
        <v>113</v>
      </c>
      <c r="T45" s="429">
        <v>4</v>
      </c>
      <c r="U45" s="429">
        <v>0</v>
      </c>
      <c r="V45" s="429" t="s">
        <v>714</v>
      </c>
      <c r="W45" s="429">
        <v>0</v>
      </c>
      <c r="X45" s="429">
        <v>1</v>
      </c>
      <c r="Y45" s="432" t="s">
        <v>115</v>
      </c>
      <c r="Z45" s="429">
        <v>0</v>
      </c>
      <c r="AA45" s="433">
        <v>0</v>
      </c>
      <c r="AB45" s="432" t="s">
        <v>715</v>
      </c>
      <c r="AC45" s="429">
        <v>0</v>
      </c>
      <c r="AD45" s="429">
        <v>1</v>
      </c>
      <c r="AE45" s="432" t="s">
        <v>716</v>
      </c>
      <c r="AF45" s="429">
        <v>0</v>
      </c>
      <c r="AG45" s="429">
        <v>0</v>
      </c>
      <c r="AH45" s="496" t="s">
        <v>716</v>
      </c>
      <c r="AI45" s="429">
        <v>0</v>
      </c>
      <c r="AJ45" s="429"/>
      <c r="AK45" s="429"/>
      <c r="AL45" s="429">
        <v>0</v>
      </c>
      <c r="AM45" s="429"/>
      <c r="AN45" s="429"/>
      <c r="AO45" s="429">
        <v>0</v>
      </c>
      <c r="AP45" s="429"/>
      <c r="AQ45" s="429"/>
      <c r="AR45" s="429">
        <v>0</v>
      </c>
      <c r="AS45" s="429"/>
      <c r="AT45" s="429"/>
      <c r="AU45" s="429">
        <v>0</v>
      </c>
      <c r="AV45" s="429"/>
      <c r="AW45" s="429"/>
      <c r="AX45" s="429">
        <v>0</v>
      </c>
      <c r="AY45" s="431"/>
      <c r="AZ45" s="431"/>
      <c r="BA45" s="435">
        <f t="shared" si="0"/>
        <v>4</v>
      </c>
      <c r="BB45" s="435">
        <f t="shared" si="1"/>
        <v>2</v>
      </c>
      <c r="BC45" s="497">
        <f>+IF(BA45=0,+IF(BB45=0,"No programación, No avance",+IF(BB45&gt;0,+IF(BA45=0,BB45/P45))),BB45/BA45)</f>
        <v>0.5</v>
      </c>
      <c r="BD45" s="2">
        <f>+AVERAGE(BC45:BC102)</f>
        <v>0.87104181184669005</v>
      </c>
    </row>
    <row r="46" spans="1:56" s="2" customFormat="1" ht="60.75" customHeight="1">
      <c r="A46" s="721"/>
      <c r="B46" s="753"/>
      <c r="C46" s="706"/>
      <c r="D46" s="706"/>
      <c r="E46" s="433" t="s">
        <v>718</v>
      </c>
      <c r="F46" s="433" t="s">
        <v>531</v>
      </c>
      <c r="G46" s="433">
        <v>0.1</v>
      </c>
      <c r="H46" s="433" t="s">
        <v>710</v>
      </c>
      <c r="I46" s="433" t="s">
        <v>73</v>
      </c>
      <c r="J46" s="433" t="s">
        <v>711</v>
      </c>
      <c r="K46" s="433" t="s">
        <v>712</v>
      </c>
      <c r="L46" s="433" t="s">
        <v>713</v>
      </c>
      <c r="M46" s="434">
        <v>44197</v>
      </c>
      <c r="N46" s="434">
        <v>44561</v>
      </c>
      <c r="O46" s="433">
        <f>+R46+U46+X46+AA46+AD46+AG46+AJ46+AM46+AP46+AS46+AV46+AY46</f>
        <v>4</v>
      </c>
      <c r="P46" s="433">
        <v>4</v>
      </c>
      <c r="Q46" s="433">
        <v>0</v>
      </c>
      <c r="R46" s="433">
        <v>0</v>
      </c>
      <c r="S46" s="433" t="s">
        <v>113</v>
      </c>
      <c r="T46" s="433">
        <v>0</v>
      </c>
      <c r="U46" s="433">
        <v>0</v>
      </c>
      <c r="V46" s="433" t="s">
        <v>719</v>
      </c>
      <c r="W46" s="433">
        <v>4</v>
      </c>
      <c r="X46" s="433">
        <v>0</v>
      </c>
      <c r="Y46" s="436" t="s">
        <v>720</v>
      </c>
      <c r="Z46" s="433">
        <v>0</v>
      </c>
      <c r="AA46" s="433">
        <v>0</v>
      </c>
      <c r="AB46" s="436" t="s">
        <v>721</v>
      </c>
      <c r="AC46" s="433">
        <v>0</v>
      </c>
      <c r="AD46" s="433">
        <v>4</v>
      </c>
      <c r="AE46" s="436" t="s">
        <v>722</v>
      </c>
      <c r="AF46" s="433">
        <v>0</v>
      </c>
      <c r="AG46" s="498">
        <v>0</v>
      </c>
      <c r="AH46" s="499" t="s">
        <v>723</v>
      </c>
      <c r="AI46" s="433">
        <v>0</v>
      </c>
      <c r="AJ46" s="433"/>
      <c r="AK46" s="433"/>
      <c r="AL46" s="433">
        <v>0</v>
      </c>
      <c r="AM46" s="433"/>
      <c r="AN46" s="433"/>
      <c r="AO46" s="433">
        <v>0</v>
      </c>
      <c r="AP46" s="433"/>
      <c r="AQ46" s="433"/>
      <c r="AR46" s="433">
        <v>0</v>
      </c>
      <c r="AS46" s="433"/>
      <c r="AT46" s="433"/>
      <c r="AU46" s="433">
        <v>0</v>
      </c>
      <c r="AV46" s="433"/>
      <c r="AW46" s="433"/>
      <c r="AX46" s="433">
        <v>0</v>
      </c>
      <c r="AY46" s="435"/>
      <c r="AZ46" s="435"/>
      <c r="BA46" s="435">
        <f t="shared" si="0"/>
        <v>4</v>
      </c>
      <c r="BB46" s="435">
        <f t="shared" si="1"/>
        <v>4</v>
      </c>
      <c r="BC46" s="500">
        <f>+IF(BA46=0,+IF(BB46=0,"No programación, No avance",+IF(BB46&gt;0,+IF(BA46=0,BB46/P46))),BB46/BA46)</f>
        <v>1</v>
      </c>
    </row>
    <row r="47" spans="1:56" s="2" customFormat="1" ht="60.75" customHeight="1">
      <c r="A47" s="721"/>
      <c r="B47" s="753"/>
      <c r="C47" s="706"/>
      <c r="D47" s="706"/>
      <c r="E47" s="433" t="s">
        <v>725</v>
      </c>
      <c r="F47" s="433" t="s">
        <v>531</v>
      </c>
      <c r="G47" s="433">
        <v>0.15</v>
      </c>
      <c r="H47" s="433" t="s">
        <v>710</v>
      </c>
      <c r="I47" s="433" t="s">
        <v>73</v>
      </c>
      <c r="J47" s="433" t="s">
        <v>711</v>
      </c>
      <c r="K47" s="433" t="s">
        <v>726</v>
      </c>
      <c r="L47" s="433" t="s">
        <v>713</v>
      </c>
      <c r="M47" s="434">
        <v>44197</v>
      </c>
      <c r="N47" s="434">
        <v>44561</v>
      </c>
      <c r="O47" s="433">
        <f>+R47+U47+X47+AA47+AD47+AG47+AJ47+AM47+AP47+AS47+AV47+AY47</f>
        <v>4</v>
      </c>
      <c r="P47" s="433">
        <v>4</v>
      </c>
      <c r="Q47" s="433">
        <v>0</v>
      </c>
      <c r="R47" s="433">
        <v>0</v>
      </c>
      <c r="S47" s="433" t="s">
        <v>113</v>
      </c>
      <c r="T47" s="433">
        <v>0</v>
      </c>
      <c r="U47" s="433">
        <v>0</v>
      </c>
      <c r="V47" s="433" t="s">
        <v>114</v>
      </c>
      <c r="W47" s="433">
        <v>0</v>
      </c>
      <c r="X47" s="433">
        <v>0</v>
      </c>
      <c r="Y47" s="436" t="s">
        <v>727</v>
      </c>
      <c r="Z47" s="433">
        <v>4</v>
      </c>
      <c r="AA47" s="433">
        <v>4</v>
      </c>
      <c r="AB47" s="436" t="s">
        <v>728</v>
      </c>
      <c r="AC47" s="433">
        <v>0</v>
      </c>
      <c r="AD47" s="433">
        <v>0</v>
      </c>
      <c r="AE47" s="436" t="s">
        <v>728</v>
      </c>
      <c r="AF47" s="433">
        <v>0</v>
      </c>
      <c r="AG47" s="498">
        <v>0</v>
      </c>
      <c r="AH47" s="499" t="s">
        <v>729</v>
      </c>
      <c r="AI47" s="433">
        <v>0</v>
      </c>
      <c r="AJ47" s="433"/>
      <c r="AK47" s="433"/>
      <c r="AL47" s="433">
        <v>0</v>
      </c>
      <c r="AM47" s="433"/>
      <c r="AN47" s="433"/>
      <c r="AO47" s="433">
        <v>0</v>
      </c>
      <c r="AP47" s="433"/>
      <c r="AQ47" s="433"/>
      <c r="AR47" s="433">
        <v>0</v>
      </c>
      <c r="AS47" s="433"/>
      <c r="AT47" s="433"/>
      <c r="AU47" s="433">
        <v>0</v>
      </c>
      <c r="AV47" s="433"/>
      <c r="AW47" s="433"/>
      <c r="AX47" s="433">
        <v>0</v>
      </c>
      <c r="AY47" s="435"/>
      <c r="AZ47" s="435"/>
      <c r="BA47" s="435">
        <f t="shared" si="0"/>
        <v>4</v>
      </c>
      <c r="BB47" s="435">
        <f t="shared" si="1"/>
        <v>4</v>
      </c>
      <c r="BC47" s="500">
        <f>+IF(BA47=0,+IF(BB47=0,"No programación, No avance",+IF(BB47&gt;0,+IF(BA47=0,BB47/P47))),BB47/BA47)</f>
        <v>1</v>
      </c>
    </row>
    <row r="48" spans="1:56" s="2" customFormat="1" ht="60.75" customHeight="1">
      <c r="A48" s="721"/>
      <c r="B48" s="753"/>
      <c r="C48" s="706"/>
      <c r="D48" s="706"/>
      <c r="E48" s="433" t="s">
        <v>731</v>
      </c>
      <c r="F48" s="433" t="s">
        <v>472</v>
      </c>
      <c r="G48" s="433">
        <v>7.0000000000000007E-2</v>
      </c>
      <c r="H48" s="433" t="s">
        <v>710</v>
      </c>
      <c r="I48" s="433" t="s">
        <v>79</v>
      </c>
      <c r="J48" s="433" t="s">
        <v>78</v>
      </c>
      <c r="K48" s="433" t="s">
        <v>726</v>
      </c>
      <c r="L48" s="433" t="s">
        <v>713</v>
      </c>
      <c r="M48" s="434">
        <v>44197</v>
      </c>
      <c r="N48" s="434">
        <v>44561</v>
      </c>
      <c r="O48" s="433">
        <f>+R48+U48+X48+AA48+AD48+AG48+AJ48+AM48+AP48+AS48+AV48+AY48</f>
        <v>1</v>
      </c>
      <c r="P48" s="433">
        <v>1</v>
      </c>
      <c r="Q48" s="433">
        <v>0</v>
      </c>
      <c r="R48" s="433">
        <v>0</v>
      </c>
      <c r="S48" s="433" t="s">
        <v>113</v>
      </c>
      <c r="T48" s="433">
        <v>0</v>
      </c>
      <c r="U48" s="438">
        <v>0.1</v>
      </c>
      <c r="V48" s="433" t="s">
        <v>732</v>
      </c>
      <c r="W48" s="433">
        <v>0.25</v>
      </c>
      <c r="X48" s="437">
        <v>0.25</v>
      </c>
      <c r="Y48" s="436" t="s">
        <v>733</v>
      </c>
      <c r="Z48" s="433">
        <v>0.25</v>
      </c>
      <c r="AA48" s="438">
        <v>0.25</v>
      </c>
      <c r="AB48" s="436" t="s">
        <v>734</v>
      </c>
      <c r="AC48" s="433">
        <v>0.5</v>
      </c>
      <c r="AD48" s="439">
        <v>0.4</v>
      </c>
      <c r="AE48" s="436" t="s">
        <v>735</v>
      </c>
      <c r="AF48" s="433">
        <v>0</v>
      </c>
      <c r="AG48" s="433">
        <v>0</v>
      </c>
      <c r="AH48" s="436" t="s">
        <v>604</v>
      </c>
      <c r="AI48" s="433">
        <v>0</v>
      </c>
      <c r="AJ48" s="433"/>
      <c r="AK48" s="433"/>
      <c r="AL48" s="433">
        <v>0</v>
      </c>
      <c r="AM48" s="433"/>
      <c r="AN48" s="433"/>
      <c r="AO48" s="433">
        <v>0</v>
      </c>
      <c r="AP48" s="433"/>
      <c r="AQ48" s="433"/>
      <c r="AR48" s="433">
        <v>0</v>
      </c>
      <c r="AS48" s="433"/>
      <c r="AT48" s="433"/>
      <c r="AU48" s="433">
        <v>0</v>
      </c>
      <c r="AV48" s="433"/>
      <c r="AW48" s="433"/>
      <c r="AX48" s="433">
        <v>0</v>
      </c>
      <c r="AY48" s="435"/>
      <c r="AZ48" s="435"/>
      <c r="BA48" s="435">
        <f t="shared" si="0"/>
        <v>1</v>
      </c>
      <c r="BB48" s="435">
        <f t="shared" si="1"/>
        <v>1</v>
      </c>
      <c r="BC48" s="500">
        <f>+IF(BA48=0,+IF(BB48=0,"No programación, No avance",+IF(BB48&gt;0,+IF(BA48=0,BB48/P48))),BB48/BA48)</f>
        <v>1</v>
      </c>
    </row>
    <row r="49" spans="1:56" s="2" customFormat="1" ht="60.75" customHeight="1">
      <c r="A49" s="721"/>
      <c r="B49" s="753"/>
      <c r="C49" s="706"/>
      <c r="D49" s="706"/>
      <c r="E49" s="433" t="s">
        <v>737</v>
      </c>
      <c r="F49" s="433" t="s">
        <v>472</v>
      </c>
      <c r="G49" s="433">
        <v>0.05</v>
      </c>
      <c r="H49" s="433" t="s">
        <v>710</v>
      </c>
      <c r="I49" s="433" t="s">
        <v>73</v>
      </c>
      <c r="J49" s="433" t="s">
        <v>711</v>
      </c>
      <c r="K49" s="433" t="s">
        <v>726</v>
      </c>
      <c r="L49" s="433" t="s">
        <v>713</v>
      </c>
      <c r="M49" s="434">
        <v>44197</v>
      </c>
      <c r="N49" s="434">
        <v>44561</v>
      </c>
      <c r="O49" s="433">
        <f>+R49+U49+X49+AA49+AD49+AG49+AJ49+AM49+AP49+AS49+AV49+AY49</f>
        <v>0</v>
      </c>
      <c r="P49" s="433">
        <v>50</v>
      </c>
      <c r="Q49" s="433">
        <v>0</v>
      </c>
      <c r="R49" s="433">
        <v>0</v>
      </c>
      <c r="S49" s="433" t="s">
        <v>113</v>
      </c>
      <c r="T49" s="433">
        <v>0</v>
      </c>
      <c r="U49" s="433">
        <v>0</v>
      </c>
      <c r="V49" s="433" t="s">
        <v>738</v>
      </c>
      <c r="W49" s="433">
        <v>0</v>
      </c>
      <c r="X49" s="433">
        <v>0</v>
      </c>
      <c r="Y49" s="436" t="s">
        <v>739</v>
      </c>
      <c r="Z49" s="433">
        <v>0</v>
      </c>
      <c r="AA49" s="433">
        <v>0</v>
      </c>
      <c r="AB49" s="436" t="s">
        <v>740</v>
      </c>
      <c r="AC49" s="433">
        <v>10</v>
      </c>
      <c r="AD49" s="433">
        <v>0</v>
      </c>
      <c r="AE49" s="436" t="s">
        <v>741</v>
      </c>
      <c r="AF49" s="433">
        <v>10</v>
      </c>
      <c r="AG49" s="498">
        <v>0</v>
      </c>
      <c r="AH49" s="499" t="s">
        <v>742</v>
      </c>
      <c r="AI49" s="433">
        <v>10</v>
      </c>
      <c r="AJ49" s="433"/>
      <c r="AK49" s="433"/>
      <c r="AL49" s="433">
        <v>10</v>
      </c>
      <c r="AM49" s="433"/>
      <c r="AN49" s="433"/>
      <c r="AO49" s="433">
        <v>10</v>
      </c>
      <c r="AP49" s="433"/>
      <c r="AQ49" s="433"/>
      <c r="AR49" s="433">
        <v>0</v>
      </c>
      <c r="AS49" s="433"/>
      <c r="AT49" s="433"/>
      <c r="AU49" s="433">
        <v>0</v>
      </c>
      <c r="AV49" s="433"/>
      <c r="AW49" s="433"/>
      <c r="AX49" s="433">
        <v>0</v>
      </c>
      <c r="AY49" s="435"/>
      <c r="AZ49" s="435"/>
      <c r="BA49" s="435">
        <f t="shared" si="0"/>
        <v>20</v>
      </c>
      <c r="BB49" s="435">
        <f t="shared" si="1"/>
        <v>0</v>
      </c>
      <c r="BC49" s="500">
        <f>+IF(BA49=0,+IF(BB49=0,"No programación, No avance",+IF(BB49&gt;0,+IF(BA49=0,BB49/P49))),BB49/BA49)</f>
        <v>0</v>
      </c>
    </row>
    <row r="50" spans="1:56" s="2" customFormat="1" ht="60.75" customHeight="1">
      <c r="A50" s="721"/>
      <c r="B50" s="753"/>
      <c r="C50" s="706"/>
      <c r="D50" s="706"/>
      <c r="E50" s="433" t="s">
        <v>744</v>
      </c>
      <c r="F50" s="433" t="s">
        <v>472</v>
      </c>
      <c r="G50" s="433">
        <v>7.0000000000000007E-2</v>
      </c>
      <c r="H50" s="433" t="s">
        <v>710</v>
      </c>
      <c r="I50" s="433" t="s">
        <v>73</v>
      </c>
      <c r="J50" s="433" t="s">
        <v>711</v>
      </c>
      <c r="K50" s="433" t="s">
        <v>726</v>
      </c>
      <c r="L50" s="433" t="s">
        <v>713</v>
      </c>
      <c r="M50" s="434">
        <v>44197</v>
      </c>
      <c r="N50" s="434">
        <v>44561</v>
      </c>
      <c r="O50" s="433">
        <f>+R50+U50+X50+AA50+AD50+AG50+AJ50+AM50+AP50+AS50+AV50+AY50</f>
        <v>0</v>
      </c>
      <c r="P50" s="433">
        <v>1</v>
      </c>
      <c r="Q50" s="433">
        <v>0</v>
      </c>
      <c r="R50" s="433">
        <v>0</v>
      </c>
      <c r="S50" s="433" t="s">
        <v>113</v>
      </c>
      <c r="T50" s="433">
        <v>0</v>
      </c>
      <c r="U50" s="433">
        <v>0</v>
      </c>
      <c r="V50" s="433" t="s">
        <v>745</v>
      </c>
      <c r="W50" s="433">
        <v>0</v>
      </c>
      <c r="X50" s="433">
        <v>0</v>
      </c>
      <c r="Y50" s="436" t="s">
        <v>746</v>
      </c>
      <c r="Z50" s="433">
        <v>0</v>
      </c>
      <c r="AA50" s="433">
        <v>0</v>
      </c>
      <c r="AB50" s="436" t="s">
        <v>747</v>
      </c>
      <c r="AC50" s="433">
        <v>0</v>
      </c>
      <c r="AD50" s="433">
        <v>0</v>
      </c>
      <c r="AE50" s="436" t="s">
        <v>748</v>
      </c>
      <c r="AF50" s="433">
        <v>0</v>
      </c>
      <c r="AG50" s="498">
        <v>0</v>
      </c>
      <c r="AH50" s="499" t="s">
        <v>749</v>
      </c>
      <c r="AI50" s="433">
        <v>0</v>
      </c>
      <c r="AJ50" s="433"/>
      <c r="AK50" s="433"/>
      <c r="AL50" s="433">
        <v>0</v>
      </c>
      <c r="AM50" s="433"/>
      <c r="AN50" s="433"/>
      <c r="AO50" s="433">
        <v>0</v>
      </c>
      <c r="AP50" s="433"/>
      <c r="AQ50" s="433"/>
      <c r="AR50" s="433">
        <v>1</v>
      </c>
      <c r="AS50" s="433"/>
      <c r="AT50" s="433"/>
      <c r="AU50" s="433">
        <v>0</v>
      </c>
      <c r="AV50" s="433"/>
      <c r="AW50" s="433"/>
      <c r="AX50" s="433">
        <v>0</v>
      </c>
      <c r="AY50" s="435"/>
      <c r="AZ50" s="435"/>
      <c r="BA50" s="435">
        <f t="shared" si="0"/>
        <v>0</v>
      </c>
      <c r="BB50" s="435">
        <f t="shared" si="1"/>
        <v>0</v>
      </c>
      <c r="BC50" s="500" t="str">
        <f>+IF(BA50=0,+IF(BB50=0,"No programación, No avance",+IF(BB50&gt;0,+IF(BA50=0,BB50/P50))),BB50/BA50)</f>
        <v>No programación, No avance</v>
      </c>
    </row>
    <row r="51" spans="1:56" s="2" customFormat="1" ht="60.75" customHeight="1">
      <c r="A51" s="721"/>
      <c r="B51" s="753"/>
      <c r="C51" s="706"/>
      <c r="D51" s="706"/>
      <c r="E51" s="433" t="s">
        <v>751</v>
      </c>
      <c r="F51" s="433" t="s">
        <v>472</v>
      </c>
      <c r="G51" s="433">
        <v>0.09</v>
      </c>
      <c r="H51" s="433" t="s">
        <v>752</v>
      </c>
      <c r="I51" s="433" t="s">
        <v>79</v>
      </c>
      <c r="J51" s="433" t="s">
        <v>78</v>
      </c>
      <c r="K51" s="433" t="s">
        <v>712</v>
      </c>
      <c r="L51" s="433" t="s">
        <v>753</v>
      </c>
      <c r="M51" s="434">
        <v>44197</v>
      </c>
      <c r="N51" s="434">
        <v>44561</v>
      </c>
      <c r="O51" s="433">
        <f>+R51+U51+X51+AA51+AD51+AG51+AJ51+AM51+AP51+AS51+AV51+AY51</f>
        <v>1</v>
      </c>
      <c r="P51" s="433">
        <v>1</v>
      </c>
      <c r="Q51" s="433">
        <v>0</v>
      </c>
      <c r="R51" s="433">
        <v>0</v>
      </c>
      <c r="S51" s="433" t="s">
        <v>754</v>
      </c>
      <c r="T51" s="433">
        <v>0</v>
      </c>
      <c r="U51" s="438">
        <v>0.5</v>
      </c>
      <c r="V51" s="433" t="s">
        <v>755</v>
      </c>
      <c r="W51" s="433">
        <v>0</v>
      </c>
      <c r="X51" s="438">
        <v>0.5</v>
      </c>
      <c r="Y51" s="436" t="s">
        <v>756</v>
      </c>
      <c r="Z51" s="437">
        <v>0.5</v>
      </c>
      <c r="AA51" s="438">
        <v>0</v>
      </c>
      <c r="AB51" s="436" t="s">
        <v>757</v>
      </c>
      <c r="AC51" s="433">
        <v>0</v>
      </c>
      <c r="AD51" s="439">
        <v>0</v>
      </c>
      <c r="AE51" s="436" t="s">
        <v>143</v>
      </c>
      <c r="AF51" s="433">
        <v>0</v>
      </c>
      <c r="AG51" s="433">
        <v>0</v>
      </c>
      <c r="AH51" s="436" t="s">
        <v>604</v>
      </c>
      <c r="AI51" s="433">
        <v>0</v>
      </c>
      <c r="AJ51" s="433"/>
      <c r="AK51" s="433"/>
      <c r="AL51" s="433">
        <v>0</v>
      </c>
      <c r="AM51" s="433"/>
      <c r="AN51" s="433"/>
      <c r="AO51" s="433">
        <v>0</v>
      </c>
      <c r="AP51" s="433"/>
      <c r="AQ51" s="433"/>
      <c r="AR51" s="433">
        <v>0</v>
      </c>
      <c r="AS51" s="433"/>
      <c r="AT51" s="433"/>
      <c r="AU51" s="433">
        <v>0</v>
      </c>
      <c r="AV51" s="433"/>
      <c r="AW51" s="433"/>
      <c r="AX51" s="433">
        <v>0</v>
      </c>
      <c r="AY51" s="435"/>
      <c r="AZ51" s="435"/>
      <c r="BA51" s="435">
        <f t="shared" si="0"/>
        <v>0.5</v>
      </c>
      <c r="BB51" s="435">
        <f t="shared" si="1"/>
        <v>1</v>
      </c>
      <c r="BC51" s="500">
        <f>+IF(BA51=0,+IF(BB51=0,"No programación, No avance",+IF(BB51&gt;0,+IF(BA51=0,BB51/P51))),BB51/BA51)</f>
        <v>2</v>
      </c>
      <c r="BD51" s="47"/>
    </row>
    <row r="52" spans="1:56" s="2" customFormat="1" ht="60.75" customHeight="1">
      <c r="A52" s="721"/>
      <c r="B52" s="753"/>
      <c r="C52" s="706"/>
      <c r="D52" s="706"/>
      <c r="E52" s="433" t="s">
        <v>759</v>
      </c>
      <c r="F52" s="433" t="s">
        <v>472</v>
      </c>
      <c r="G52" s="433">
        <v>0.1</v>
      </c>
      <c r="H52" s="433" t="s">
        <v>752</v>
      </c>
      <c r="I52" s="433" t="s">
        <v>73</v>
      </c>
      <c r="J52" s="433" t="s">
        <v>711</v>
      </c>
      <c r="K52" s="433" t="s">
        <v>712</v>
      </c>
      <c r="L52" s="433" t="s">
        <v>753</v>
      </c>
      <c r="M52" s="434">
        <v>44197</v>
      </c>
      <c r="N52" s="434">
        <v>44561</v>
      </c>
      <c r="O52" s="433">
        <f>+R52+U52+X52+AA52+AD52+AG52+AJ52+AM52+AP52+AS52+AV52+AY52</f>
        <v>0</v>
      </c>
      <c r="P52" s="433">
        <v>8</v>
      </c>
      <c r="Q52" s="433">
        <v>0</v>
      </c>
      <c r="R52" s="433">
        <v>0</v>
      </c>
      <c r="S52" s="433" t="s">
        <v>113</v>
      </c>
      <c r="T52" s="433">
        <v>0</v>
      </c>
      <c r="U52" s="433">
        <v>0</v>
      </c>
      <c r="V52" s="433" t="s">
        <v>760</v>
      </c>
      <c r="W52" s="433">
        <v>0</v>
      </c>
      <c r="X52" s="433">
        <v>0</v>
      </c>
      <c r="Y52" s="436" t="s">
        <v>761</v>
      </c>
      <c r="Z52" s="433">
        <v>1</v>
      </c>
      <c r="AA52" s="433">
        <v>0</v>
      </c>
      <c r="AB52" s="436" t="s">
        <v>762</v>
      </c>
      <c r="AC52" s="433">
        <v>0</v>
      </c>
      <c r="AD52" s="433">
        <v>0</v>
      </c>
      <c r="AE52" s="436" t="s">
        <v>763</v>
      </c>
      <c r="AF52" s="433">
        <v>0</v>
      </c>
      <c r="AG52" s="498">
        <v>0</v>
      </c>
      <c r="AH52" s="499" t="s">
        <v>764</v>
      </c>
      <c r="AI52" s="433">
        <v>0</v>
      </c>
      <c r="AJ52" s="433"/>
      <c r="AK52" s="433"/>
      <c r="AL52" s="433">
        <v>0</v>
      </c>
      <c r="AM52" s="433"/>
      <c r="AN52" s="433"/>
      <c r="AO52" s="433">
        <v>0</v>
      </c>
      <c r="AP52" s="433"/>
      <c r="AQ52" s="433"/>
      <c r="AR52" s="433">
        <v>0</v>
      </c>
      <c r="AS52" s="433"/>
      <c r="AT52" s="433"/>
      <c r="AU52" s="433">
        <v>0</v>
      </c>
      <c r="AV52" s="433"/>
      <c r="AW52" s="433"/>
      <c r="AX52" s="433">
        <v>7</v>
      </c>
      <c r="AY52" s="435"/>
      <c r="AZ52" s="435"/>
      <c r="BA52" s="435">
        <f t="shared" si="0"/>
        <v>1</v>
      </c>
      <c r="BB52" s="435">
        <f t="shared" si="1"/>
        <v>0</v>
      </c>
      <c r="BC52" s="500">
        <f>+IF(BA52=0,+IF(BB52=0,"No programación, No avance",+IF(BB52&gt;0,+IF(BA52=0,BB52/P52))),BB52/BA52)</f>
        <v>0</v>
      </c>
    </row>
    <row r="53" spans="1:56" s="2" customFormat="1" ht="60.75" customHeight="1">
      <c r="A53" s="721"/>
      <c r="B53" s="753"/>
      <c r="C53" s="706"/>
      <c r="D53" s="706"/>
      <c r="E53" s="433" t="s">
        <v>766</v>
      </c>
      <c r="F53" s="433" t="s">
        <v>531</v>
      </c>
      <c r="G53" s="433">
        <v>0.1</v>
      </c>
      <c r="H53" s="433" t="s">
        <v>710</v>
      </c>
      <c r="I53" s="433" t="s">
        <v>79</v>
      </c>
      <c r="J53" s="433" t="s">
        <v>78</v>
      </c>
      <c r="K53" s="433" t="s">
        <v>726</v>
      </c>
      <c r="L53" s="433" t="s">
        <v>713</v>
      </c>
      <c r="M53" s="434">
        <v>44197</v>
      </c>
      <c r="N53" s="434">
        <v>44561</v>
      </c>
      <c r="O53" s="433">
        <f>+R53+U53+X53+AA53+AD53+AG53+AJ53+AM53+AP53+AS53+AV53+AY53</f>
        <v>0.15</v>
      </c>
      <c r="P53" s="433">
        <v>1</v>
      </c>
      <c r="Q53" s="433">
        <v>0</v>
      </c>
      <c r="R53" s="433">
        <v>0</v>
      </c>
      <c r="S53" s="433" t="s">
        <v>113</v>
      </c>
      <c r="T53" s="433">
        <v>0</v>
      </c>
      <c r="U53" s="438">
        <v>0</v>
      </c>
      <c r="V53" s="433" t="s">
        <v>767</v>
      </c>
      <c r="W53" s="433">
        <v>0.25</v>
      </c>
      <c r="X53" s="437">
        <v>0.15</v>
      </c>
      <c r="Y53" s="436" t="s">
        <v>768</v>
      </c>
      <c r="Z53" s="433">
        <v>0</v>
      </c>
      <c r="AA53" s="438">
        <v>0</v>
      </c>
      <c r="AB53" s="436" t="s">
        <v>769</v>
      </c>
      <c r="AC53" s="433">
        <v>0</v>
      </c>
      <c r="AD53" s="439">
        <v>0</v>
      </c>
      <c r="AE53" s="436" t="s">
        <v>770</v>
      </c>
      <c r="AF53" s="437">
        <v>0.25</v>
      </c>
      <c r="AG53" s="433">
        <v>0</v>
      </c>
      <c r="AH53" s="436" t="s">
        <v>771</v>
      </c>
      <c r="AI53" s="433">
        <v>0</v>
      </c>
      <c r="AJ53" s="433"/>
      <c r="AK53" s="433"/>
      <c r="AL53" s="433">
        <v>0</v>
      </c>
      <c r="AM53" s="433"/>
      <c r="AN53" s="433"/>
      <c r="AO53" s="437">
        <v>0.25</v>
      </c>
      <c r="AP53" s="433"/>
      <c r="AQ53" s="433"/>
      <c r="AR53" s="433">
        <v>0</v>
      </c>
      <c r="AS53" s="433"/>
      <c r="AT53" s="433"/>
      <c r="AU53" s="433">
        <v>0</v>
      </c>
      <c r="AV53" s="433"/>
      <c r="AW53" s="433"/>
      <c r="AX53" s="437">
        <v>0.25</v>
      </c>
      <c r="AY53" s="435"/>
      <c r="AZ53" s="435"/>
      <c r="BA53" s="435">
        <f t="shared" si="0"/>
        <v>0.5</v>
      </c>
      <c r="BB53" s="435">
        <f t="shared" si="1"/>
        <v>0.15</v>
      </c>
      <c r="BC53" s="500">
        <f>+IF(BA53=0,+IF(BB53=0,"No programación, No avance",+IF(BB53&gt;0,+IF(BA53=0,BB53/P53))),BB53/BA53)</f>
        <v>0.3</v>
      </c>
      <c r="BD53" s="47"/>
    </row>
    <row r="54" spans="1:56" s="2" customFormat="1" ht="60.75" customHeight="1">
      <c r="A54" s="721"/>
      <c r="B54" s="753"/>
      <c r="C54" s="706"/>
      <c r="D54" s="706"/>
      <c r="E54" s="433" t="s">
        <v>773</v>
      </c>
      <c r="F54" s="433" t="s">
        <v>472</v>
      </c>
      <c r="G54" s="433">
        <v>0.06</v>
      </c>
      <c r="H54" s="433" t="s">
        <v>774</v>
      </c>
      <c r="I54" s="433" t="s">
        <v>73</v>
      </c>
      <c r="J54" s="433" t="s">
        <v>711</v>
      </c>
      <c r="K54" s="433" t="s">
        <v>775</v>
      </c>
      <c r="L54" s="433" t="s">
        <v>776</v>
      </c>
      <c r="M54" s="434">
        <v>44197</v>
      </c>
      <c r="N54" s="434">
        <v>44561</v>
      </c>
      <c r="O54" s="433">
        <f>+R54+U54+X54+AA54+AD54+AG54+AJ54+AM54+AP54+AS54+AV54+AY54</f>
        <v>0</v>
      </c>
      <c r="P54" s="433">
        <v>4</v>
      </c>
      <c r="Q54" s="433">
        <v>0</v>
      </c>
      <c r="R54" s="433">
        <v>0</v>
      </c>
      <c r="S54" s="433" t="s">
        <v>113</v>
      </c>
      <c r="T54" s="433">
        <v>0</v>
      </c>
      <c r="U54" s="433">
        <v>0</v>
      </c>
      <c r="V54" s="433" t="s">
        <v>777</v>
      </c>
      <c r="W54" s="433">
        <v>0</v>
      </c>
      <c r="X54" s="433">
        <v>0</v>
      </c>
      <c r="Y54" s="436" t="s">
        <v>778</v>
      </c>
      <c r="Z54" s="433">
        <v>1</v>
      </c>
      <c r="AA54" s="433">
        <v>0</v>
      </c>
      <c r="AB54" s="436" t="s">
        <v>779</v>
      </c>
      <c r="AC54" s="433">
        <v>0</v>
      </c>
      <c r="AD54" s="433">
        <v>0</v>
      </c>
      <c r="AE54" s="436" t="s">
        <v>780</v>
      </c>
      <c r="AF54" s="433">
        <v>1</v>
      </c>
      <c r="AG54" s="498">
        <v>0</v>
      </c>
      <c r="AH54" s="499" t="s">
        <v>781</v>
      </c>
      <c r="AI54" s="433">
        <v>0</v>
      </c>
      <c r="AJ54" s="433"/>
      <c r="AK54" s="433"/>
      <c r="AL54" s="433">
        <v>1</v>
      </c>
      <c r="AM54" s="433"/>
      <c r="AN54" s="433"/>
      <c r="AO54" s="433">
        <v>0</v>
      </c>
      <c r="AP54" s="433"/>
      <c r="AQ54" s="433"/>
      <c r="AR54" s="433">
        <v>1</v>
      </c>
      <c r="AS54" s="433"/>
      <c r="AT54" s="433"/>
      <c r="AU54" s="433">
        <v>0</v>
      </c>
      <c r="AV54" s="433"/>
      <c r="AW54" s="433"/>
      <c r="AX54" s="433">
        <v>0</v>
      </c>
      <c r="AY54" s="435"/>
      <c r="AZ54" s="435"/>
      <c r="BA54" s="435">
        <f t="shared" si="0"/>
        <v>2</v>
      </c>
      <c r="BB54" s="435">
        <f t="shared" si="1"/>
        <v>0</v>
      </c>
      <c r="BC54" s="500">
        <f>+IF(BA54=0,+IF(BB54=0,"No programación, No avance",+IF(BB54&gt;0,+IF(BA54=0,BB54/P54))),BB54/BA54)</f>
        <v>0</v>
      </c>
      <c r="BD54" s="47"/>
    </row>
    <row r="55" spans="1:56" s="2" customFormat="1" ht="60.75" customHeight="1">
      <c r="A55" s="721"/>
      <c r="B55" s="753"/>
      <c r="C55" s="706"/>
      <c r="D55" s="706"/>
      <c r="E55" s="433" t="s">
        <v>783</v>
      </c>
      <c r="F55" s="433" t="s">
        <v>472</v>
      </c>
      <c r="G55" s="433">
        <v>0.06</v>
      </c>
      <c r="H55" s="433" t="s">
        <v>774</v>
      </c>
      <c r="I55" s="433" t="s">
        <v>73</v>
      </c>
      <c r="J55" s="433" t="s">
        <v>711</v>
      </c>
      <c r="K55" s="433" t="s">
        <v>127</v>
      </c>
      <c r="L55" s="433" t="s">
        <v>776</v>
      </c>
      <c r="M55" s="434">
        <v>44197</v>
      </c>
      <c r="N55" s="434">
        <v>44561</v>
      </c>
      <c r="O55" s="433">
        <f>+R55+U55+X55+AA55+AD55+AG55+AJ55+AM55+AP55+AS55+AV55+AY55</f>
        <v>0</v>
      </c>
      <c r="P55" s="433">
        <v>2</v>
      </c>
      <c r="Q55" s="433">
        <v>0</v>
      </c>
      <c r="R55" s="433">
        <v>0</v>
      </c>
      <c r="S55" s="433" t="s">
        <v>113</v>
      </c>
      <c r="T55" s="433">
        <v>0</v>
      </c>
      <c r="U55" s="433">
        <v>0</v>
      </c>
      <c r="V55" s="433" t="s">
        <v>777</v>
      </c>
      <c r="W55" s="433">
        <v>0</v>
      </c>
      <c r="X55" s="433">
        <v>0</v>
      </c>
      <c r="Y55" s="436" t="s">
        <v>784</v>
      </c>
      <c r="Z55" s="433">
        <v>0</v>
      </c>
      <c r="AA55" s="433">
        <v>0</v>
      </c>
      <c r="AB55" s="436" t="s">
        <v>785</v>
      </c>
      <c r="AC55" s="433">
        <v>0</v>
      </c>
      <c r="AD55" s="433">
        <v>0</v>
      </c>
      <c r="AE55" s="436" t="s">
        <v>786</v>
      </c>
      <c r="AF55" s="433">
        <v>1</v>
      </c>
      <c r="AG55" s="498">
        <v>0</v>
      </c>
      <c r="AH55" s="499" t="s">
        <v>787</v>
      </c>
      <c r="AI55" s="433">
        <v>0</v>
      </c>
      <c r="AJ55" s="433"/>
      <c r="AK55" s="433"/>
      <c r="AL55" s="433">
        <v>0</v>
      </c>
      <c r="AM55" s="433"/>
      <c r="AN55" s="433"/>
      <c r="AO55" s="433">
        <v>1</v>
      </c>
      <c r="AP55" s="433"/>
      <c r="AQ55" s="433"/>
      <c r="AR55" s="433">
        <v>0</v>
      </c>
      <c r="AS55" s="433"/>
      <c r="AT55" s="433"/>
      <c r="AU55" s="433">
        <v>0</v>
      </c>
      <c r="AV55" s="433"/>
      <c r="AW55" s="433"/>
      <c r="AX55" s="433">
        <v>0</v>
      </c>
      <c r="AY55" s="435"/>
      <c r="AZ55" s="435"/>
      <c r="BA55" s="435">
        <f t="shared" si="0"/>
        <v>1</v>
      </c>
      <c r="BB55" s="435">
        <f t="shared" si="1"/>
        <v>0</v>
      </c>
      <c r="BC55" s="500">
        <f>+IF(BA55=0,+IF(BB55=0,"No programación, No avance",+IF(BB55&gt;0,+IF(BA55=0,BB55/P55))),BB55/BA55)</f>
        <v>0</v>
      </c>
      <c r="BD55" s="47"/>
    </row>
    <row r="56" spans="1:56" s="2" customFormat="1" ht="73.5" customHeight="1">
      <c r="A56" s="721"/>
      <c r="B56" s="753"/>
      <c r="C56" s="706"/>
      <c r="D56" s="706"/>
      <c r="E56" s="433" t="s">
        <v>789</v>
      </c>
      <c r="F56" s="433" t="s">
        <v>690</v>
      </c>
      <c r="G56" s="433" t="s">
        <v>426</v>
      </c>
      <c r="H56" s="433" t="s">
        <v>774</v>
      </c>
      <c r="I56" s="433" t="s">
        <v>79</v>
      </c>
      <c r="J56" s="433" t="s">
        <v>78</v>
      </c>
      <c r="K56" s="433" t="s">
        <v>127</v>
      </c>
      <c r="L56" s="433" t="s">
        <v>790</v>
      </c>
      <c r="M56" s="434">
        <v>44197</v>
      </c>
      <c r="N56" s="434">
        <v>44561</v>
      </c>
      <c r="O56" s="433">
        <f>+R56+U56+X56+AA56+AD56+AG56+AJ56+AM56+AP56+AS56+AV56+AY56</f>
        <v>0.1</v>
      </c>
      <c r="P56" s="433">
        <v>1</v>
      </c>
      <c r="Q56" s="433">
        <v>0</v>
      </c>
      <c r="R56" s="433">
        <v>0</v>
      </c>
      <c r="S56" s="433" t="s">
        <v>113</v>
      </c>
      <c r="T56" s="433">
        <v>0</v>
      </c>
      <c r="U56" s="438">
        <v>0</v>
      </c>
      <c r="V56" s="433" t="s">
        <v>777</v>
      </c>
      <c r="W56" s="433">
        <v>0</v>
      </c>
      <c r="X56" s="438">
        <v>0</v>
      </c>
      <c r="Y56" s="436" t="s">
        <v>791</v>
      </c>
      <c r="Z56" s="433">
        <v>0</v>
      </c>
      <c r="AA56" s="438">
        <v>0</v>
      </c>
      <c r="AB56" s="436" t="s">
        <v>792</v>
      </c>
      <c r="AC56" s="433">
        <v>0.1</v>
      </c>
      <c r="AD56" s="439">
        <v>0.1</v>
      </c>
      <c r="AE56" s="436" t="s">
        <v>793</v>
      </c>
      <c r="AF56" s="437">
        <v>0</v>
      </c>
      <c r="AG56" s="433">
        <v>0</v>
      </c>
      <c r="AH56" s="436" t="s">
        <v>787</v>
      </c>
      <c r="AI56" s="433">
        <v>0.2</v>
      </c>
      <c r="AJ56" s="433"/>
      <c r="AK56" s="433"/>
      <c r="AL56" s="437">
        <v>0</v>
      </c>
      <c r="AM56" s="433"/>
      <c r="AN56" s="433"/>
      <c r="AO56" s="437">
        <v>0.1</v>
      </c>
      <c r="AP56" s="433"/>
      <c r="AQ56" s="433"/>
      <c r="AR56" s="437">
        <v>0.6</v>
      </c>
      <c r="AS56" s="433"/>
      <c r="AT56" s="433"/>
      <c r="AU56" s="433">
        <v>0</v>
      </c>
      <c r="AV56" s="433"/>
      <c r="AW56" s="433"/>
      <c r="AX56" s="437">
        <v>0</v>
      </c>
      <c r="AY56" s="435"/>
      <c r="AZ56" s="435"/>
      <c r="BA56" s="435">
        <f t="shared" si="0"/>
        <v>0.1</v>
      </c>
      <c r="BB56" s="435">
        <f t="shared" si="1"/>
        <v>0.1</v>
      </c>
      <c r="BC56" s="500">
        <f>+IF(BA56=0,+IF(BB56=0,"No programación, No avance",+IF(BB56&gt;0,+IF(BA56=0,BB56/P56))),BB56/BA56)</f>
        <v>1</v>
      </c>
    </row>
    <row r="57" spans="1:56" s="2" customFormat="1" ht="60.75" customHeight="1">
      <c r="A57" s="721"/>
      <c r="B57" s="753"/>
      <c r="C57" s="706" t="s">
        <v>117</v>
      </c>
      <c r="D57" s="706" t="s">
        <v>795</v>
      </c>
      <c r="E57" s="433" t="s">
        <v>796</v>
      </c>
      <c r="F57" s="433" t="s">
        <v>472</v>
      </c>
      <c r="G57" s="433">
        <v>0.5</v>
      </c>
      <c r="H57" s="433" t="s">
        <v>797</v>
      </c>
      <c r="I57" s="433" t="s">
        <v>73</v>
      </c>
      <c r="J57" s="433" t="s">
        <v>711</v>
      </c>
      <c r="K57" s="433" t="s">
        <v>798</v>
      </c>
      <c r="L57" s="433" t="s">
        <v>753</v>
      </c>
      <c r="M57" s="434">
        <v>44197</v>
      </c>
      <c r="N57" s="434">
        <v>44561</v>
      </c>
      <c r="O57" s="433">
        <f>+R57+U57+X57+AA57+AD57+AG57+AJ57+AM57+AP57+AS57+AV57+AY57</f>
        <v>10</v>
      </c>
      <c r="P57" s="433">
        <v>10</v>
      </c>
      <c r="Q57" s="433">
        <v>0</v>
      </c>
      <c r="R57" s="433">
        <v>0</v>
      </c>
      <c r="S57" s="433" t="s">
        <v>113</v>
      </c>
      <c r="T57" s="433">
        <v>0</v>
      </c>
      <c r="U57" s="433">
        <v>2</v>
      </c>
      <c r="V57" s="433" t="s">
        <v>799</v>
      </c>
      <c r="W57" s="433">
        <v>5</v>
      </c>
      <c r="X57" s="433">
        <v>4</v>
      </c>
      <c r="Y57" s="436" t="s">
        <v>118</v>
      </c>
      <c r="Z57" s="433">
        <v>5</v>
      </c>
      <c r="AA57" s="433">
        <v>4</v>
      </c>
      <c r="AB57" s="436" t="s">
        <v>800</v>
      </c>
      <c r="AC57" s="433">
        <v>0</v>
      </c>
      <c r="AD57" s="501">
        <v>0</v>
      </c>
      <c r="AE57" s="502" t="s">
        <v>143</v>
      </c>
      <c r="AF57" s="433">
        <v>0</v>
      </c>
      <c r="AG57" s="503">
        <v>0</v>
      </c>
      <c r="AH57" s="504" t="s">
        <v>604</v>
      </c>
      <c r="AI57" s="433">
        <v>0</v>
      </c>
      <c r="AJ57" s="433"/>
      <c r="AK57" s="433"/>
      <c r="AL57" s="433">
        <v>0</v>
      </c>
      <c r="AM57" s="433"/>
      <c r="AN57" s="433"/>
      <c r="AO57" s="433">
        <v>0</v>
      </c>
      <c r="AP57" s="433"/>
      <c r="AQ57" s="433"/>
      <c r="AR57" s="433">
        <v>0</v>
      </c>
      <c r="AS57" s="433"/>
      <c r="AT57" s="433"/>
      <c r="AU57" s="433">
        <v>0</v>
      </c>
      <c r="AV57" s="433"/>
      <c r="AW57" s="433"/>
      <c r="AX57" s="433">
        <v>0</v>
      </c>
      <c r="AY57" s="435"/>
      <c r="AZ57" s="435"/>
      <c r="BA57" s="435">
        <f t="shared" si="0"/>
        <v>10</v>
      </c>
      <c r="BB57" s="435">
        <f t="shared" si="1"/>
        <v>10</v>
      </c>
      <c r="BC57" s="500">
        <f>+IF(BA57=0,+IF(BB57=0,"No programación, No avance",+IF(BB57&gt;0,+IF(BA57=0,BB57/P57))),BB57/BA57)</f>
        <v>1</v>
      </c>
      <c r="BD57" s="47"/>
    </row>
    <row r="58" spans="1:56" s="2" customFormat="1" ht="60.75" customHeight="1">
      <c r="A58" s="721"/>
      <c r="B58" s="753"/>
      <c r="C58" s="706"/>
      <c r="D58" s="706"/>
      <c r="E58" s="433" t="s">
        <v>802</v>
      </c>
      <c r="F58" s="433" t="s">
        <v>472</v>
      </c>
      <c r="G58" s="433">
        <v>0.5</v>
      </c>
      <c r="H58" s="433" t="s">
        <v>797</v>
      </c>
      <c r="I58" s="433" t="s">
        <v>73</v>
      </c>
      <c r="J58" s="433" t="s">
        <v>711</v>
      </c>
      <c r="K58" s="433" t="s">
        <v>803</v>
      </c>
      <c r="L58" s="433" t="s">
        <v>753</v>
      </c>
      <c r="M58" s="434">
        <v>44197</v>
      </c>
      <c r="N58" s="434">
        <v>44561</v>
      </c>
      <c r="O58" s="433">
        <f>+R58+U58+X58+AA58+AD58+AG58+AJ58+AM58+AP58+AS58+AV58+AY58</f>
        <v>0</v>
      </c>
      <c r="P58" s="433">
        <v>1</v>
      </c>
      <c r="Q58" s="433">
        <v>0</v>
      </c>
      <c r="R58" s="433">
        <v>0</v>
      </c>
      <c r="S58" s="433" t="s">
        <v>113</v>
      </c>
      <c r="T58" s="433">
        <v>0</v>
      </c>
      <c r="U58" s="433">
        <v>0</v>
      </c>
      <c r="V58" s="433" t="s">
        <v>804</v>
      </c>
      <c r="W58" s="433">
        <v>0</v>
      </c>
      <c r="X58" s="433">
        <v>0</v>
      </c>
      <c r="Y58" s="436" t="s">
        <v>805</v>
      </c>
      <c r="Z58" s="433">
        <v>0</v>
      </c>
      <c r="AA58" s="433">
        <v>0</v>
      </c>
      <c r="AB58" s="436" t="s">
        <v>806</v>
      </c>
      <c r="AC58" s="433">
        <v>0</v>
      </c>
      <c r="AD58" s="501">
        <v>0</v>
      </c>
      <c r="AE58" s="502" t="s">
        <v>807</v>
      </c>
      <c r="AF58" s="433">
        <v>0</v>
      </c>
      <c r="AG58" s="503">
        <v>0</v>
      </c>
      <c r="AH58" s="504" t="s">
        <v>808</v>
      </c>
      <c r="AI58" s="433">
        <v>0</v>
      </c>
      <c r="AJ58" s="433"/>
      <c r="AK58" s="433"/>
      <c r="AL58" s="433">
        <v>0</v>
      </c>
      <c r="AM58" s="433"/>
      <c r="AN58" s="433"/>
      <c r="AO58" s="433">
        <v>0</v>
      </c>
      <c r="AP58" s="433"/>
      <c r="AQ58" s="433"/>
      <c r="AR58" s="433">
        <v>0</v>
      </c>
      <c r="AS58" s="433"/>
      <c r="AT58" s="433"/>
      <c r="AU58" s="433">
        <v>0</v>
      </c>
      <c r="AV58" s="433"/>
      <c r="AW58" s="433"/>
      <c r="AX58" s="433">
        <v>1</v>
      </c>
      <c r="AY58" s="435"/>
      <c r="AZ58" s="435"/>
      <c r="BA58" s="435">
        <f t="shared" si="0"/>
        <v>0</v>
      </c>
      <c r="BB58" s="435">
        <f t="shared" si="1"/>
        <v>0</v>
      </c>
      <c r="BC58" s="500" t="str">
        <f>+IF(BA58=0,+IF(BB58=0,"No programación, No avance",+IF(BB58&gt;0,+IF(BA58=0,BB58/P58))),BB58/BA58)</f>
        <v>No programación, No avance</v>
      </c>
    </row>
    <row r="59" spans="1:56" s="2" customFormat="1" ht="60.75" customHeight="1">
      <c r="A59" s="721"/>
      <c r="B59" s="753"/>
      <c r="C59" s="706" t="s">
        <v>120</v>
      </c>
      <c r="D59" s="706" t="s">
        <v>810</v>
      </c>
      <c r="E59" s="433" t="s">
        <v>811</v>
      </c>
      <c r="F59" s="433" t="s">
        <v>472</v>
      </c>
      <c r="G59" s="433">
        <v>0.1</v>
      </c>
      <c r="H59" s="433" t="s">
        <v>812</v>
      </c>
      <c r="I59" s="433" t="s">
        <v>73</v>
      </c>
      <c r="J59" s="433" t="s">
        <v>711</v>
      </c>
      <c r="K59" s="433" t="s">
        <v>798</v>
      </c>
      <c r="L59" s="433" t="s">
        <v>753</v>
      </c>
      <c r="M59" s="434">
        <v>44197</v>
      </c>
      <c r="N59" s="434">
        <v>44561</v>
      </c>
      <c r="O59" s="433">
        <f>+R59+U59+X59+AA59+AD59+AG59+AJ59+AM59+AP59+AS59+AV59+AY59</f>
        <v>2</v>
      </c>
      <c r="P59" s="433">
        <v>2</v>
      </c>
      <c r="Q59" s="433">
        <v>0</v>
      </c>
      <c r="R59" s="433">
        <v>0</v>
      </c>
      <c r="S59" s="433" t="s">
        <v>113</v>
      </c>
      <c r="T59" s="433">
        <v>2</v>
      </c>
      <c r="U59" s="433">
        <v>1</v>
      </c>
      <c r="V59" s="433" t="s">
        <v>813</v>
      </c>
      <c r="W59" s="433">
        <v>0</v>
      </c>
      <c r="X59" s="433">
        <v>1</v>
      </c>
      <c r="Y59" s="436" t="s">
        <v>814</v>
      </c>
      <c r="Z59" s="433">
        <v>0</v>
      </c>
      <c r="AA59" s="433">
        <v>0</v>
      </c>
      <c r="AB59" s="436" t="s">
        <v>124</v>
      </c>
      <c r="AC59" s="433">
        <v>0</v>
      </c>
      <c r="AD59" s="501">
        <v>0</v>
      </c>
      <c r="AE59" s="502" t="s">
        <v>815</v>
      </c>
      <c r="AF59" s="433">
        <v>0</v>
      </c>
      <c r="AG59" s="503">
        <v>0</v>
      </c>
      <c r="AH59" s="504" t="s">
        <v>816</v>
      </c>
      <c r="AI59" s="433">
        <v>0</v>
      </c>
      <c r="AJ59" s="433"/>
      <c r="AK59" s="433"/>
      <c r="AL59" s="433">
        <v>0</v>
      </c>
      <c r="AM59" s="433"/>
      <c r="AN59" s="433"/>
      <c r="AO59" s="433">
        <v>0</v>
      </c>
      <c r="AP59" s="433"/>
      <c r="AQ59" s="433"/>
      <c r="AR59" s="433">
        <v>0</v>
      </c>
      <c r="AS59" s="433"/>
      <c r="AT59" s="433"/>
      <c r="AU59" s="433">
        <v>0</v>
      </c>
      <c r="AV59" s="433"/>
      <c r="AW59" s="433"/>
      <c r="AX59" s="433">
        <v>0</v>
      </c>
      <c r="AY59" s="435"/>
      <c r="AZ59" s="435"/>
      <c r="BA59" s="435">
        <f t="shared" si="0"/>
        <v>2</v>
      </c>
      <c r="BB59" s="435">
        <f t="shared" si="1"/>
        <v>2</v>
      </c>
      <c r="BC59" s="500">
        <f>+IF(BA59=0,+IF(BB59=0,"No programación, No avance",+IF(BB59&gt;0,+IF(BA59=0,BB59/P59))),BB59/BA59)</f>
        <v>1</v>
      </c>
    </row>
    <row r="60" spans="1:56" s="2" customFormat="1" ht="60.75" customHeight="1">
      <c r="A60" s="721"/>
      <c r="B60" s="753"/>
      <c r="C60" s="706"/>
      <c r="D60" s="706"/>
      <c r="E60" s="433" t="s">
        <v>818</v>
      </c>
      <c r="F60" s="433" t="s">
        <v>472</v>
      </c>
      <c r="G60" s="433">
        <v>0.2</v>
      </c>
      <c r="H60" s="433" t="s">
        <v>812</v>
      </c>
      <c r="I60" s="433" t="s">
        <v>73</v>
      </c>
      <c r="J60" s="433" t="s">
        <v>711</v>
      </c>
      <c r="K60" s="433" t="s">
        <v>819</v>
      </c>
      <c r="L60" s="433" t="s">
        <v>753</v>
      </c>
      <c r="M60" s="434">
        <v>44197</v>
      </c>
      <c r="N60" s="434">
        <v>44561</v>
      </c>
      <c r="O60" s="433">
        <f>+R60+U60+X60+AA60+AD60+AG60+AJ60+AM60+AP60+AS60+AV60+AY60</f>
        <v>0</v>
      </c>
      <c r="P60" s="433">
        <v>1</v>
      </c>
      <c r="Q60" s="433">
        <v>0</v>
      </c>
      <c r="R60" s="433">
        <v>0</v>
      </c>
      <c r="S60" s="433" t="s">
        <v>113</v>
      </c>
      <c r="T60" s="433">
        <v>0</v>
      </c>
      <c r="U60" s="433">
        <v>0</v>
      </c>
      <c r="V60" s="433" t="s">
        <v>121</v>
      </c>
      <c r="W60" s="433">
        <v>1</v>
      </c>
      <c r="X60" s="433">
        <v>0</v>
      </c>
      <c r="Y60" s="436" t="s">
        <v>123</v>
      </c>
      <c r="Z60" s="433">
        <v>0</v>
      </c>
      <c r="AA60" s="433">
        <v>0</v>
      </c>
      <c r="AB60" s="436" t="s">
        <v>820</v>
      </c>
      <c r="AC60" s="433">
        <v>0</v>
      </c>
      <c r="AD60" s="501">
        <v>0</v>
      </c>
      <c r="AE60" s="502" t="s">
        <v>820</v>
      </c>
      <c r="AF60" s="433">
        <v>0</v>
      </c>
      <c r="AG60" s="503">
        <v>0</v>
      </c>
      <c r="AH60" s="504" t="s">
        <v>821</v>
      </c>
      <c r="AI60" s="433">
        <v>0</v>
      </c>
      <c r="AJ60" s="433"/>
      <c r="AK60" s="433"/>
      <c r="AL60" s="433">
        <v>0</v>
      </c>
      <c r="AM60" s="433"/>
      <c r="AN60" s="433"/>
      <c r="AO60" s="433">
        <v>0</v>
      </c>
      <c r="AP60" s="433"/>
      <c r="AQ60" s="433"/>
      <c r="AR60" s="433">
        <v>0</v>
      </c>
      <c r="AS60" s="433"/>
      <c r="AT60" s="433"/>
      <c r="AU60" s="433">
        <v>0</v>
      </c>
      <c r="AV60" s="433"/>
      <c r="AW60" s="433"/>
      <c r="AX60" s="433">
        <v>0</v>
      </c>
      <c r="AY60" s="435"/>
      <c r="AZ60" s="435"/>
      <c r="BA60" s="435">
        <f t="shared" si="0"/>
        <v>1</v>
      </c>
      <c r="BB60" s="435">
        <f t="shared" si="1"/>
        <v>0</v>
      </c>
      <c r="BC60" s="500">
        <f>+IF(BA60=0,+IF(BB60=0,"No programación, No avance",+IF(BB60&gt;0,+IF(BA60=0,BB60/P60))),BB60/BA60)</f>
        <v>0</v>
      </c>
    </row>
    <row r="61" spans="1:56" s="2" customFormat="1" ht="60.75" customHeight="1">
      <c r="A61" s="721"/>
      <c r="B61" s="753"/>
      <c r="C61" s="706"/>
      <c r="D61" s="706"/>
      <c r="E61" s="433" t="s">
        <v>823</v>
      </c>
      <c r="F61" s="433" t="s">
        <v>472</v>
      </c>
      <c r="G61" s="433">
        <v>0.1</v>
      </c>
      <c r="H61" s="433" t="s">
        <v>812</v>
      </c>
      <c r="I61" s="433" t="s">
        <v>73</v>
      </c>
      <c r="J61" s="433" t="s">
        <v>711</v>
      </c>
      <c r="K61" s="433" t="s">
        <v>798</v>
      </c>
      <c r="L61" s="433" t="s">
        <v>753</v>
      </c>
      <c r="M61" s="434">
        <v>44197</v>
      </c>
      <c r="N61" s="434">
        <v>44561</v>
      </c>
      <c r="O61" s="433">
        <f>+R61+U61+X61+AA61+AD61+AG61+AJ61+AM61+AP61+AS61+AV61+AY61</f>
        <v>0</v>
      </c>
      <c r="P61" s="433">
        <v>3</v>
      </c>
      <c r="Q61" s="433">
        <v>0</v>
      </c>
      <c r="R61" s="433">
        <v>0</v>
      </c>
      <c r="S61" s="433" t="s">
        <v>113</v>
      </c>
      <c r="T61" s="433">
        <v>0</v>
      </c>
      <c r="U61" s="433">
        <v>0</v>
      </c>
      <c r="V61" s="433" t="s">
        <v>824</v>
      </c>
      <c r="W61" s="433">
        <v>0</v>
      </c>
      <c r="X61" s="433">
        <v>0</v>
      </c>
      <c r="Y61" s="436" t="s">
        <v>824</v>
      </c>
      <c r="Z61" s="433">
        <v>3</v>
      </c>
      <c r="AA61" s="433">
        <v>0</v>
      </c>
      <c r="AB61" s="436" t="s">
        <v>825</v>
      </c>
      <c r="AC61" s="433">
        <v>0</v>
      </c>
      <c r="AD61" s="501">
        <v>0</v>
      </c>
      <c r="AE61" s="502" t="s">
        <v>825</v>
      </c>
      <c r="AF61" s="433">
        <v>0</v>
      </c>
      <c r="AG61" s="503">
        <v>0</v>
      </c>
      <c r="AH61" s="504" t="s">
        <v>826</v>
      </c>
      <c r="AI61" s="433">
        <v>0</v>
      </c>
      <c r="AJ61" s="433"/>
      <c r="AK61" s="433"/>
      <c r="AL61" s="433">
        <v>0</v>
      </c>
      <c r="AM61" s="433"/>
      <c r="AN61" s="433"/>
      <c r="AO61" s="433">
        <v>0</v>
      </c>
      <c r="AP61" s="433"/>
      <c r="AQ61" s="433"/>
      <c r="AR61" s="433">
        <v>0</v>
      </c>
      <c r="AS61" s="433"/>
      <c r="AT61" s="433"/>
      <c r="AU61" s="433">
        <v>0</v>
      </c>
      <c r="AV61" s="433"/>
      <c r="AW61" s="433"/>
      <c r="AX61" s="433">
        <v>0</v>
      </c>
      <c r="AY61" s="435"/>
      <c r="AZ61" s="435"/>
      <c r="BA61" s="435">
        <f t="shared" si="0"/>
        <v>3</v>
      </c>
      <c r="BB61" s="435">
        <f t="shared" si="1"/>
        <v>0</v>
      </c>
      <c r="BC61" s="500">
        <f>+IF(BA61=0,+IF(BB61=0,"No programación, No avance",+IF(BB61&gt;0,+IF(BA61=0,BB61/P61))),BB61/BA61)</f>
        <v>0</v>
      </c>
    </row>
    <row r="62" spans="1:56" s="2" customFormat="1" ht="60.75" customHeight="1">
      <c r="A62" s="721"/>
      <c r="B62" s="753"/>
      <c r="C62" s="706"/>
      <c r="D62" s="706"/>
      <c r="E62" s="433" t="s">
        <v>828</v>
      </c>
      <c r="F62" s="433" t="s">
        <v>472</v>
      </c>
      <c r="G62" s="433">
        <v>0.5</v>
      </c>
      <c r="H62" s="433" t="s">
        <v>812</v>
      </c>
      <c r="I62" s="433" t="s">
        <v>79</v>
      </c>
      <c r="J62" s="433" t="s">
        <v>78</v>
      </c>
      <c r="K62" s="433" t="s">
        <v>798</v>
      </c>
      <c r="L62" s="433" t="s">
        <v>753</v>
      </c>
      <c r="M62" s="434">
        <v>44197</v>
      </c>
      <c r="N62" s="434">
        <v>44561</v>
      </c>
      <c r="O62" s="433">
        <f>+R62+U62+X62+AA62+AD62+AG62+AJ62+AM62+AP62+AS62+AV62+AY62</f>
        <v>0</v>
      </c>
      <c r="P62" s="433">
        <v>1</v>
      </c>
      <c r="Q62" s="433">
        <v>0</v>
      </c>
      <c r="R62" s="433">
        <v>0</v>
      </c>
      <c r="S62" s="433" t="s">
        <v>113</v>
      </c>
      <c r="T62" s="433">
        <v>0</v>
      </c>
      <c r="U62" s="438">
        <v>0</v>
      </c>
      <c r="V62" s="433" t="s">
        <v>829</v>
      </c>
      <c r="W62" s="433">
        <v>0</v>
      </c>
      <c r="X62" s="438">
        <v>0</v>
      </c>
      <c r="Y62" s="436" t="s">
        <v>830</v>
      </c>
      <c r="Z62" s="433">
        <v>0</v>
      </c>
      <c r="AA62" s="438">
        <v>0</v>
      </c>
      <c r="AB62" s="436" t="s">
        <v>829</v>
      </c>
      <c r="AC62" s="433">
        <v>0.1</v>
      </c>
      <c r="AD62" s="505">
        <v>0</v>
      </c>
      <c r="AE62" s="502" t="s">
        <v>829</v>
      </c>
      <c r="AF62" s="433">
        <v>0.1</v>
      </c>
      <c r="AG62" s="501">
        <v>0</v>
      </c>
      <c r="AH62" s="502" t="s">
        <v>831</v>
      </c>
      <c r="AI62" s="433">
        <v>0.1</v>
      </c>
      <c r="AJ62" s="433"/>
      <c r="AK62" s="433"/>
      <c r="AL62" s="433">
        <v>0.1</v>
      </c>
      <c r="AM62" s="433"/>
      <c r="AN62" s="433"/>
      <c r="AO62" s="433">
        <v>0.1</v>
      </c>
      <c r="AP62" s="433"/>
      <c r="AQ62" s="433"/>
      <c r="AR62" s="433">
        <v>0.1</v>
      </c>
      <c r="AS62" s="433"/>
      <c r="AT62" s="433"/>
      <c r="AU62" s="433">
        <v>0.2</v>
      </c>
      <c r="AV62" s="433"/>
      <c r="AW62" s="433"/>
      <c r="AX62" s="433">
        <v>0.2</v>
      </c>
      <c r="AY62" s="435"/>
      <c r="AZ62" s="435"/>
      <c r="BA62" s="435">
        <f t="shared" si="0"/>
        <v>0.2</v>
      </c>
      <c r="BB62" s="435">
        <f t="shared" si="1"/>
        <v>0</v>
      </c>
      <c r="BC62" s="500">
        <f>+IF(BA62=0,+IF(BB62=0,"No programación, No avance",+IF(BB62&gt;0,+IF(BA62=0,BB62/P62))),BB62/BA62)</f>
        <v>0</v>
      </c>
    </row>
    <row r="63" spans="1:56" s="2" customFormat="1" ht="60.75" customHeight="1">
      <c r="A63" s="721"/>
      <c r="B63" s="753"/>
      <c r="C63" s="706"/>
      <c r="D63" s="706"/>
      <c r="E63" s="433" t="s">
        <v>833</v>
      </c>
      <c r="F63" s="433" t="s">
        <v>531</v>
      </c>
      <c r="G63" s="433">
        <v>0.1</v>
      </c>
      <c r="H63" s="433" t="s">
        <v>812</v>
      </c>
      <c r="I63" s="433" t="s">
        <v>73</v>
      </c>
      <c r="J63" s="433" t="s">
        <v>711</v>
      </c>
      <c r="K63" s="433" t="s">
        <v>819</v>
      </c>
      <c r="L63" s="433" t="s">
        <v>753</v>
      </c>
      <c r="M63" s="434">
        <v>44197</v>
      </c>
      <c r="N63" s="434">
        <v>44561</v>
      </c>
      <c r="O63" s="433">
        <f>+R63+U63+X63+AA63+AD63+AG63+AJ63+AM63+AP63+AS63+AV63+AY63</f>
        <v>0</v>
      </c>
      <c r="P63" s="433">
        <v>1</v>
      </c>
      <c r="Q63" s="433">
        <v>0</v>
      </c>
      <c r="R63" s="433">
        <v>0</v>
      </c>
      <c r="S63" s="433" t="s">
        <v>113</v>
      </c>
      <c r="T63" s="433">
        <v>0</v>
      </c>
      <c r="U63" s="433">
        <v>0</v>
      </c>
      <c r="V63" s="433" t="s">
        <v>834</v>
      </c>
      <c r="W63" s="433">
        <v>0</v>
      </c>
      <c r="X63" s="433">
        <v>0</v>
      </c>
      <c r="Y63" s="436" t="s">
        <v>835</v>
      </c>
      <c r="Z63" s="433">
        <v>0</v>
      </c>
      <c r="AA63" s="433">
        <v>0</v>
      </c>
      <c r="AB63" s="436" t="s">
        <v>143</v>
      </c>
      <c r="AC63" s="433">
        <v>0</v>
      </c>
      <c r="AD63" s="433">
        <v>0</v>
      </c>
      <c r="AE63" s="436" t="s">
        <v>836</v>
      </c>
      <c r="AF63" s="433">
        <v>0</v>
      </c>
      <c r="AG63" s="498">
        <v>0</v>
      </c>
      <c r="AH63" s="499" t="s">
        <v>837</v>
      </c>
      <c r="AI63" s="433">
        <v>0</v>
      </c>
      <c r="AJ63" s="433"/>
      <c r="AK63" s="433"/>
      <c r="AL63" s="433">
        <v>0</v>
      </c>
      <c r="AM63" s="433"/>
      <c r="AN63" s="433"/>
      <c r="AO63" s="433">
        <v>0</v>
      </c>
      <c r="AP63" s="433"/>
      <c r="AQ63" s="433"/>
      <c r="AR63" s="433">
        <v>0</v>
      </c>
      <c r="AS63" s="433"/>
      <c r="AT63" s="433"/>
      <c r="AU63" s="433">
        <v>1</v>
      </c>
      <c r="AV63" s="433"/>
      <c r="AW63" s="433"/>
      <c r="AX63" s="433">
        <v>0</v>
      </c>
      <c r="AY63" s="435"/>
      <c r="AZ63" s="435"/>
      <c r="BA63" s="435">
        <f t="shared" si="0"/>
        <v>0</v>
      </c>
      <c r="BB63" s="435">
        <f t="shared" si="1"/>
        <v>0</v>
      </c>
      <c r="BC63" s="500" t="str">
        <f>+IF(BA63=0,+IF(BB63=0,"No programación, No avance",+IF(BB63&gt;0,+IF(BA63=0,BB63/P63))),BB63/BA63)</f>
        <v>No programación, No avance</v>
      </c>
    </row>
    <row r="64" spans="1:56" s="2" customFormat="1" ht="60.75" customHeight="1">
      <c r="A64" s="721"/>
      <c r="B64" s="753"/>
      <c r="C64" s="706" t="s">
        <v>126</v>
      </c>
      <c r="D64" s="706" t="s">
        <v>839</v>
      </c>
      <c r="E64" s="433" t="s">
        <v>840</v>
      </c>
      <c r="F64" s="433" t="s">
        <v>472</v>
      </c>
      <c r="G64" s="433">
        <v>0.15</v>
      </c>
      <c r="H64" s="433" t="s">
        <v>841</v>
      </c>
      <c r="I64" s="433" t="s">
        <v>73</v>
      </c>
      <c r="J64" s="433" t="s">
        <v>842</v>
      </c>
      <c r="K64" s="433" t="s">
        <v>843</v>
      </c>
      <c r="L64" s="433" t="s">
        <v>776</v>
      </c>
      <c r="M64" s="434">
        <v>44197</v>
      </c>
      <c r="N64" s="434">
        <v>44561</v>
      </c>
      <c r="O64" s="433">
        <f>+R64+U64+X64+AA64+AD64+AG64+AJ64+AM64+AP64+AS64+AV64+AY64</f>
        <v>0</v>
      </c>
      <c r="P64" s="433">
        <v>1</v>
      </c>
      <c r="Q64" s="433">
        <v>0</v>
      </c>
      <c r="R64" s="433">
        <v>0</v>
      </c>
      <c r="S64" s="433" t="s">
        <v>844</v>
      </c>
      <c r="T64" s="433">
        <v>0</v>
      </c>
      <c r="U64" s="433">
        <v>0</v>
      </c>
      <c r="V64" s="433" t="s">
        <v>128</v>
      </c>
      <c r="W64" s="433">
        <v>0</v>
      </c>
      <c r="X64" s="433">
        <v>0</v>
      </c>
      <c r="Y64" s="436" t="s">
        <v>129</v>
      </c>
      <c r="Z64" s="433">
        <v>0</v>
      </c>
      <c r="AA64" s="433">
        <v>0</v>
      </c>
      <c r="AB64" s="436" t="s">
        <v>845</v>
      </c>
      <c r="AC64" s="433">
        <v>0</v>
      </c>
      <c r="AD64" s="433">
        <v>0</v>
      </c>
      <c r="AE64" s="436" t="s">
        <v>846</v>
      </c>
      <c r="AF64" s="433">
        <v>0</v>
      </c>
      <c r="AG64" s="498">
        <v>0</v>
      </c>
      <c r="AH64" s="499" t="s">
        <v>847</v>
      </c>
      <c r="AI64" s="433">
        <v>0</v>
      </c>
      <c r="AJ64" s="433"/>
      <c r="AK64" s="433"/>
      <c r="AL64" s="433">
        <v>0</v>
      </c>
      <c r="AM64" s="433"/>
      <c r="AN64" s="433"/>
      <c r="AO64" s="433">
        <v>0</v>
      </c>
      <c r="AP64" s="433"/>
      <c r="AQ64" s="433"/>
      <c r="AR64" s="433">
        <v>1</v>
      </c>
      <c r="AS64" s="433"/>
      <c r="AT64" s="433"/>
      <c r="AU64" s="433">
        <v>0</v>
      </c>
      <c r="AV64" s="433"/>
      <c r="AW64" s="433"/>
      <c r="AX64" s="433">
        <v>0</v>
      </c>
      <c r="AY64" s="435"/>
      <c r="AZ64" s="435"/>
      <c r="BA64" s="435">
        <f t="shared" si="0"/>
        <v>0</v>
      </c>
      <c r="BB64" s="435">
        <f t="shared" si="1"/>
        <v>0</v>
      </c>
      <c r="BC64" s="500" t="str">
        <f>+IF(BA64=0,+IF(BB64=0,"No programación, No avance",+IF(BB64&gt;0,+IF(BA64=0,BB64/P64))),BB64/BA64)</f>
        <v>No programación, No avance</v>
      </c>
    </row>
    <row r="65" spans="1:56" s="2" customFormat="1" ht="60.75" customHeight="1">
      <c r="A65" s="721"/>
      <c r="B65" s="753"/>
      <c r="C65" s="706"/>
      <c r="D65" s="706"/>
      <c r="E65" s="433" t="s">
        <v>849</v>
      </c>
      <c r="F65" s="433" t="s">
        <v>472</v>
      </c>
      <c r="G65" s="433">
        <v>0.1</v>
      </c>
      <c r="H65" s="433" t="s">
        <v>841</v>
      </c>
      <c r="I65" s="433" t="s">
        <v>73</v>
      </c>
      <c r="J65" s="433" t="s">
        <v>842</v>
      </c>
      <c r="K65" s="433" t="s">
        <v>850</v>
      </c>
      <c r="L65" s="433" t="s">
        <v>776</v>
      </c>
      <c r="M65" s="434">
        <v>44197</v>
      </c>
      <c r="N65" s="434">
        <v>44561</v>
      </c>
      <c r="O65" s="433">
        <f>+R65+U65+X65+AA65+AD65+AG65+AJ65+AM65+AP65+AS65+AV65+AY65</f>
        <v>0</v>
      </c>
      <c r="P65" s="433">
        <v>1</v>
      </c>
      <c r="Q65" s="433">
        <v>0</v>
      </c>
      <c r="R65" s="433">
        <v>0</v>
      </c>
      <c r="S65" s="433" t="s">
        <v>851</v>
      </c>
      <c r="T65" s="433">
        <v>0</v>
      </c>
      <c r="U65" s="433">
        <v>0</v>
      </c>
      <c r="V65" s="433" t="s">
        <v>851</v>
      </c>
      <c r="W65" s="433">
        <v>0</v>
      </c>
      <c r="X65" s="433">
        <v>0</v>
      </c>
      <c r="Y65" s="436" t="s">
        <v>852</v>
      </c>
      <c r="Z65" s="433">
        <v>0</v>
      </c>
      <c r="AA65" s="433">
        <v>0</v>
      </c>
      <c r="AB65" s="436" t="s">
        <v>853</v>
      </c>
      <c r="AC65" s="433">
        <v>0</v>
      </c>
      <c r="AD65" s="433">
        <v>0</v>
      </c>
      <c r="AE65" s="436" t="s">
        <v>846</v>
      </c>
      <c r="AF65" s="433">
        <v>0</v>
      </c>
      <c r="AG65" s="498">
        <v>0</v>
      </c>
      <c r="AH65" s="499" t="s">
        <v>854</v>
      </c>
      <c r="AI65" s="433">
        <v>0</v>
      </c>
      <c r="AJ65" s="433"/>
      <c r="AK65" s="433"/>
      <c r="AL65" s="433">
        <v>0</v>
      </c>
      <c r="AM65" s="433"/>
      <c r="AN65" s="433"/>
      <c r="AO65" s="433">
        <v>0</v>
      </c>
      <c r="AP65" s="433"/>
      <c r="AQ65" s="433"/>
      <c r="AR65" s="433">
        <v>1</v>
      </c>
      <c r="AS65" s="433"/>
      <c r="AT65" s="433"/>
      <c r="AU65" s="433">
        <v>0</v>
      </c>
      <c r="AV65" s="433"/>
      <c r="AW65" s="433"/>
      <c r="AX65" s="433">
        <v>0</v>
      </c>
      <c r="AY65" s="435"/>
      <c r="AZ65" s="435"/>
      <c r="BA65" s="435">
        <f t="shared" si="0"/>
        <v>0</v>
      </c>
      <c r="BB65" s="435">
        <f t="shared" si="1"/>
        <v>0</v>
      </c>
      <c r="BC65" s="500" t="str">
        <f>+IF(BA65=0,+IF(BB65=0,"No programación, No avance",+IF(BB65&gt;0,+IF(BA65=0,BB65/P65))),BB65/BA65)</f>
        <v>No programación, No avance</v>
      </c>
      <c r="BD65" s="47"/>
    </row>
    <row r="66" spans="1:56" s="2" customFormat="1" ht="60.75" customHeight="1">
      <c r="A66" s="721"/>
      <c r="B66" s="753"/>
      <c r="C66" s="706"/>
      <c r="D66" s="706"/>
      <c r="E66" s="433" t="s">
        <v>856</v>
      </c>
      <c r="F66" s="433" t="s">
        <v>472</v>
      </c>
      <c r="G66" s="433">
        <v>0.05</v>
      </c>
      <c r="H66" s="433" t="s">
        <v>841</v>
      </c>
      <c r="I66" s="433" t="s">
        <v>73</v>
      </c>
      <c r="J66" s="433" t="s">
        <v>842</v>
      </c>
      <c r="K66" s="433" t="s">
        <v>857</v>
      </c>
      <c r="L66" s="433" t="s">
        <v>776</v>
      </c>
      <c r="M66" s="434">
        <v>44197</v>
      </c>
      <c r="N66" s="434">
        <v>44561</v>
      </c>
      <c r="O66" s="433">
        <f>+R66+U66+X66+AA66+AD66+AG66+AJ66+AM66+AP66+AS66+AV66+AY66</f>
        <v>0.8</v>
      </c>
      <c r="P66" s="433">
        <v>1</v>
      </c>
      <c r="Q66" s="433">
        <v>0</v>
      </c>
      <c r="R66" s="433">
        <v>0</v>
      </c>
      <c r="S66" s="433" t="s">
        <v>858</v>
      </c>
      <c r="T66" s="433">
        <v>0</v>
      </c>
      <c r="U66" s="433">
        <v>0</v>
      </c>
      <c r="V66" s="433" t="s">
        <v>859</v>
      </c>
      <c r="W66" s="433">
        <v>0</v>
      </c>
      <c r="X66" s="433">
        <v>0</v>
      </c>
      <c r="Y66" s="436" t="s">
        <v>860</v>
      </c>
      <c r="Z66" s="433">
        <v>0</v>
      </c>
      <c r="AA66" s="433">
        <v>0</v>
      </c>
      <c r="AB66" s="436" t="s">
        <v>861</v>
      </c>
      <c r="AC66" s="433">
        <v>0</v>
      </c>
      <c r="AD66" s="433">
        <v>0.8</v>
      </c>
      <c r="AE66" s="436" t="s">
        <v>862</v>
      </c>
      <c r="AF66" s="433">
        <v>0</v>
      </c>
      <c r="AG66" s="498">
        <v>0</v>
      </c>
      <c r="AH66" s="499" t="s">
        <v>863</v>
      </c>
      <c r="AI66" s="433">
        <v>0</v>
      </c>
      <c r="AJ66" s="433"/>
      <c r="AK66" s="433"/>
      <c r="AL66" s="433">
        <v>0</v>
      </c>
      <c r="AM66" s="433"/>
      <c r="AN66" s="433"/>
      <c r="AO66" s="433">
        <v>0</v>
      </c>
      <c r="AP66" s="433"/>
      <c r="AQ66" s="433"/>
      <c r="AR66" s="433">
        <v>0</v>
      </c>
      <c r="AS66" s="433"/>
      <c r="AT66" s="433"/>
      <c r="AU66" s="433">
        <v>0</v>
      </c>
      <c r="AV66" s="433"/>
      <c r="AW66" s="433"/>
      <c r="AX66" s="433">
        <v>1</v>
      </c>
      <c r="AY66" s="435"/>
      <c r="AZ66" s="435"/>
      <c r="BA66" s="435">
        <f t="shared" si="0"/>
        <v>0</v>
      </c>
      <c r="BB66" s="435">
        <f t="shared" si="1"/>
        <v>0.8</v>
      </c>
      <c r="BC66" s="500">
        <f>+IF(BA66=0,+IF(BB66=0,"No programación, No avance",+IF(BB66&gt;0,+IF(BA66=0,BB66/P66))),BB66/BA66)</f>
        <v>0.8</v>
      </c>
    </row>
    <row r="67" spans="1:56" s="2" customFormat="1" ht="60.75" customHeight="1">
      <c r="A67" s="721"/>
      <c r="B67" s="753"/>
      <c r="C67" s="706"/>
      <c r="D67" s="706"/>
      <c r="E67" s="433" t="s">
        <v>865</v>
      </c>
      <c r="F67" s="433" t="s">
        <v>472</v>
      </c>
      <c r="G67" s="433">
        <v>0.05</v>
      </c>
      <c r="H67" s="433" t="s">
        <v>841</v>
      </c>
      <c r="I67" s="433" t="s">
        <v>73</v>
      </c>
      <c r="J67" s="433" t="s">
        <v>842</v>
      </c>
      <c r="K67" s="433" t="s">
        <v>866</v>
      </c>
      <c r="L67" s="433" t="s">
        <v>776</v>
      </c>
      <c r="M67" s="434">
        <v>44197</v>
      </c>
      <c r="N67" s="434">
        <v>44561</v>
      </c>
      <c r="O67" s="433">
        <f>+R67+U67+X67+AA67+AD67+AG67+AJ67+AM67+AP67+AS67+AV67+AY67</f>
        <v>0.05</v>
      </c>
      <c r="P67" s="433">
        <v>1</v>
      </c>
      <c r="Q67" s="433">
        <v>0</v>
      </c>
      <c r="R67" s="433">
        <v>0</v>
      </c>
      <c r="S67" s="433" t="s">
        <v>867</v>
      </c>
      <c r="T67" s="433">
        <v>0</v>
      </c>
      <c r="U67" s="433">
        <v>0</v>
      </c>
      <c r="V67" s="433" t="s">
        <v>867</v>
      </c>
      <c r="W67" s="433">
        <v>0</v>
      </c>
      <c r="X67" s="433">
        <v>0</v>
      </c>
      <c r="Y67" s="436" t="s">
        <v>846</v>
      </c>
      <c r="Z67" s="433">
        <v>0</v>
      </c>
      <c r="AA67" s="433">
        <v>0</v>
      </c>
      <c r="AB67" s="436" t="s">
        <v>868</v>
      </c>
      <c r="AC67" s="433">
        <v>0</v>
      </c>
      <c r="AD67" s="433">
        <v>0.05</v>
      </c>
      <c r="AE67" s="436" t="s">
        <v>869</v>
      </c>
      <c r="AF67" s="433">
        <v>0</v>
      </c>
      <c r="AG67" s="498">
        <v>0</v>
      </c>
      <c r="AH67" s="499" t="s">
        <v>870</v>
      </c>
      <c r="AI67" s="433">
        <v>0</v>
      </c>
      <c r="AJ67" s="433"/>
      <c r="AK67" s="433"/>
      <c r="AL67" s="433">
        <v>0</v>
      </c>
      <c r="AM67" s="433"/>
      <c r="AN67" s="433"/>
      <c r="AO67" s="433">
        <v>0</v>
      </c>
      <c r="AP67" s="433"/>
      <c r="AQ67" s="433"/>
      <c r="AR67" s="433">
        <v>0</v>
      </c>
      <c r="AS67" s="433"/>
      <c r="AT67" s="433"/>
      <c r="AU67" s="433">
        <v>1</v>
      </c>
      <c r="AV67" s="433"/>
      <c r="AW67" s="433"/>
      <c r="AX67" s="433">
        <v>0</v>
      </c>
      <c r="AY67" s="435"/>
      <c r="AZ67" s="435"/>
      <c r="BA67" s="435">
        <f t="shared" si="0"/>
        <v>0</v>
      </c>
      <c r="BB67" s="435">
        <f t="shared" si="1"/>
        <v>0.05</v>
      </c>
      <c r="BC67" s="500">
        <f>+IF(BA67=0,+IF(BB67=0,"No programación, No avance",+IF(BB67&gt;0,+IF(BA67=0,BB67/P67))),BB67/BA67)</f>
        <v>0.05</v>
      </c>
    </row>
    <row r="68" spans="1:56" s="2" customFormat="1" ht="60.75" customHeight="1">
      <c r="A68" s="721"/>
      <c r="B68" s="753"/>
      <c r="C68" s="706"/>
      <c r="D68" s="706"/>
      <c r="E68" s="433" t="s">
        <v>872</v>
      </c>
      <c r="F68" s="433" t="s">
        <v>531</v>
      </c>
      <c r="G68" s="433">
        <v>0.05</v>
      </c>
      <c r="H68" s="433" t="s">
        <v>841</v>
      </c>
      <c r="I68" s="433" t="s">
        <v>73</v>
      </c>
      <c r="J68" s="433" t="s">
        <v>873</v>
      </c>
      <c r="K68" s="433" t="s">
        <v>127</v>
      </c>
      <c r="L68" s="433" t="s">
        <v>776</v>
      </c>
      <c r="M68" s="434">
        <v>44197</v>
      </c>
      <c r="N68" s="434">
        <v>44561</v>
      </c>
      <c r="O68" s="433">
        <f>+R68+U68+X68+AA68+AD68+AG68+AJ68+AM68+AP68+AS68+AV68+AY68</f>
        <v>0.3</v>
      </c>
      <c r="P68" s="433">
        <v>1</v>
      </c>
      <c r="Q68" s="433">
        <v>0</v>
      </c>
      <c r="R68" s="433">
        <v>0</v>
      </c>
      <c r="S68" s="433" t="s">
        <v>874</v>
      </c>
      <c r="T68" s="433">
        <v>0</v>
      </c>
      <c r="U68" s="433">
        <v>0</v>
      </c>
      <c r="V68" s="433" t="s">
        <v>875</v>
      </c>
      <c r="W68" s="433">
        <v>0</v>
      </c>
      <c r="X68" s="433">
        <v>0</v>
      </c>
      <c r="Y68" s="436" t="s">
        <v>876</v>
      </c>
      <c r="Z68" s="433">
        <v>0</v>
      </c>
      <c r="AA68" s="433">
        <v>0</v>
      </c>
      <c r="AB68" s="436" t="s">
        <v>877</v>
      </c>
      <c r="AC68" s="433">
        <v>0</v>
      </c>
      <c r="AD68" s="433">
        <v>0.3</v>
      </c>
      <c r="AE68" s="436" t="s">
        <v>878</v>
      </c>
      <c r="AF68" s="433">
        <v>1</v>
      </c>
      <c r="AG68" s="498">
        <v>0</v>
      </c>
      <c r="AH68" s="499" t="s">
        <v>879</v>
      </c>
      <c r="AI68" s="433">
        <v>0</v>
      </c>
      <c r="AJ68" s="433"/>
      <c r="AK68" s="433"/>
      <c r="AL68" s="433">
        <v>0</v>
      </c>
      <c r="AM68" s="433"/>
      <c r="AN68" s="433"/>
      <c r="AO68" s="433">
        <v>0</v>
      </c>
      <c r="AP68" s="433"/>
      <c r="AQ68" s="433"/>
      <c r="AR68" s="433">
        <v>0</v>
      </c>
      <c r="AS68" s="433"/>
      <c r="AT68" s="433"/>
      <c r="AU68" s="433">
        <v>0</v>
      </c>
      <c r="AV68" s="433"/>
      <c r="AW68" s="433"/>
      <c r="AX68" s="433">
        <v>0</v>
      </c>
      <c r="AY68" s="435"/>
      <c r="AZ68" s="435"/>
      <c r="BA68" s="435">
        <f t="shared" si="0"/>
        <v>1</v>
      </c>
      <c r="BB68" s="435">
        <f t="shared" si="1"/>
        <v>0.3</v>
      </c>
      <c r="BC68" s="500">
        <f>+IF(BA68=0,+IF(BB68=0,"No programación, No avance",+IF(BB68&gt;0,+IF(BA68=0,BB68/P68))),BB68/BA68)</f>
        <v>0.3</v>
      </c>
    </row>
    <row r="69" spans="1:56" s="2" customFormat="1" ht="60.75" customHeight="1">
      <c r="A69" s="721"/>
      <c r="B69" s="753"/>
      <c r="C69" s="706"/>
      <c r="D69" s="706"/>
      <c r="E69" s="433" t="s">
        <v>881</v>
      </c>
      <c r="F69" s="433" t="s">
        <v>531</v>
      </c>
      <c r="G69" s="433">
        <v>0.15</v>
      </c>
      <c r="H69" s="433" t="s">
        <v>841</v>
      </c>
      <c r="I69" s="433" t="s">
        <v>73</v>
      </c>
      <c r="J69" s="433" t="s">
        <v>873</v>
      </c>
      <c r="K69" s="433" t="s">
        <v>882</v>
      </c>
      <c r="L69" s="433" t="s">
        <v>776</v>
      </c>
      <c r="M69" s="434">
        <v>44197</v>
      </c>
      <c r="N69" s="434">
        <v>44561</v>
      </c>
      <c r="O69" s="433">
        <f>+R69+U69+X69+AA69+AD69+AG69+AJ69+AM69+AP69+AS69+AV69+AY69</f>
        <v>1</v>
      </c>
      <c r="P69" s="433">
        <v>1</v>
      </c>
      <c r="Q69" s="433">
        <v>0</v>
      </c>
      <c r="R69" s="433">
        <v>0</v>
      </c>
      <c r="S69" s="433" t="s">
        <v>113</v>
      </c>
      <c r="T69" s="433">
        <v>0</v>
      </c>
      <c r="U69" s="433">
        <v>0</v>
      </c>
      <c r="V69" s="433" t="s">
        <v>883</v>
      </c>
      <c r="W69" s="433">
        <v>0</v>
      </c>
      <c r="X69" s="433">
        <v>0</v>
      </c>
      <c r="Y69" s="436" t="s">
        <v>884</v>
      </c>
      <c r="Z69" s="433">
        <v>1</v>
      </c>
      <c r="AA69" s="433">
        <v>1</v>
      </c>
      <c r="AB69" s="436" t="s">
        <v>885</v>
      </c>
      <c r="AC69" s="433">
        <v>0</v>
      </c>
      <c r="AD69" s="433">
        <v>0</v>
      </c>
      <c r="AE69" s="436" t="s">
        <v>886</v>
      </c>
      <c r="AF69" s="433">
        <v>0</v>
      </c>
      <c r="AG69" s="498">
        <v>0</v>
      </c>
      <c r="AH69" s="499" t="s">
        <v>604</v>
      </c>
      <c r="AI69" s="433">
        <v>0</v>
      </c>
      <c r="AJ69" s="433"/>
      <c r="AK69" s="433"/>
      <c r="AL69" s="433">
        <v>0</v>
      </c>
      <c r="AM69" s="433"/>
      <c r="AN69" s="433"/>
      <c r="AO69" s="433">
        <v>0</v>
      </c>
      <c r="AP69" s="433"/>
      <c r="AQ69" s="433"/>
      <c r="AR69" s="433">
        <v>0</v>
      </c>
      <c r="AS69" s="433"/>
      <c r="AT69" s="433"/>
      <c r="AU69" s="433">
        <v>0</v>
      </c>
      <c r="AV69" s="433"/>
      <c r="AW69" s="433"/>
      <c r="AX69" s="433">
        <v>0</v>
      </c>
      <c r="AY69" s="435"/>
      <c r="AZ69" s="435"/>
      <c r="BA69" s="435">
        <f t="shared" si="0"/>
        <v>1</v>
      </c>
      <c r="BB69" s="435">
        <f t="shared" si="1"/>
        <v>1</v>
      </c>
      <c r="BC69" s="500">
        <f>+IF(BA69=0,+IF(BB69=0,"No programación, No avance",+IF(BB69&gt;0,+IF(BA69=0,BB69/P69))),BB69/BA69)</f>
        <v>1</v>
      </c>
    </row>
    <row r="70" spans="1:56" s="2" customFormat="1" ht="60.75" customHeight="1">
      <c r="A70" s="721"/>
      <c r="B70" s="753"/>
      <c r="C70" s="706"/>
      <c r="D70" s="706"/>
      <c r="E70" s="433" t="s">
        <v>888</v>
      </c>
      <c r="F70" s="433" t="s">
        <v>531</v>
      </c>
      <c r="G70" s="433">
        <v>0.05</v>
      </c>
      <c r="H70" s="433" t="s">
        <v>841</v>
      </c>
      <c r="I70" s="433" t="s">
        <v>73</v>
      </c>
      <c r="J70" s="433" t="s">
        <v>873</v>
      </c>
      <c r="K70" s="433" t="s">
        <v>882</v>
      </c>
      <c r="L70" s="433" t="s">
        <v>776</v>
      </c>
      <c r="M70" s="434">
        <v>44197</v>
      </c>
      <c r="N70" s="434">
        <v>44561</v>
      </c>
      <c r="O70" s="433">
        <f>+R70+U70+X70+AA70+AD70+AG70+AJ70+AM70+AP70+AS70+AV70+AY70</f>
        <v>1</v>
      </c>
      <c r="P70" s="433">
        <v>1</v>
      </c>
      <c r="Q70" s="433">
        <v>0</v>
      </c>
      <c r="R70" s="433">
        <v>0</v>
      </c>
      <c r="S70" s="433" t="s">
        <v>867</v>
      </c>
      <c r="T70" s="433">
        <v>0</v>
      </c>
      <c r="U70" s="433">
        <v>0</v>
      </c>
      <c r="V70" s="433" t="s">
        <v>867</v>
      </c>
      <c r="W70" s="433">
        <v>0</v>
      </c>
      <c r="X70" s="433">
        <v>0</v>
      </c>
      <c r="Y70" s="436" t="s">
        <v>846</v>
      </c>
      <c r="Z70" s="433">
        <v>0</v>
      </c>
      <c r="AA70" s="433">
        <v>0</v>
      </c>
      <c r="AB70" s="436" t="s">
        <v>889</v>
      </c>
      <c r="AC70" s="433">
        <v>1</v>
      </c>
      <c r="AD70" s="433">
        <v>1</v>
      </c>
      <c r="AE70" s="436" t="s">
        <v>890</v>
      </c>
      <c r="AF70" s="433">
        <v>0</v>
      </c>
      <c r="AG70" s="498">
        <v>0</v>
      </c>
      <c r="AH70" s="499" t="s">
        <v>891</v>
      </c>
      <c r="AI70" s="433">
        <v>0</v>
      </c>
      <c r="AJ70" s="433"/>
      <c r="AK70" s="433"/>
      <c r="AL70" s="433">
        <v>0</v>
      </c>
      <c r="AM70" s="433"/>
      <c r="AN70" s="433"/>
      <c r="AO70" s="433">
        <v>0</v>
      </c>
      <c r="AP70" s="433"/>
      <c r="AQ70" s="433"/>
      <c r="AR70" s="433">
        <v>0</v>
      </c>
      <c r="AS70" s="433"/>
      <c r="AT70" s="433"/>
      <c r="AU70" s="433">
        <v>0</v>
      </c>
      <c r="AV70" s="433"/>
      <c r="AW70" s="433"/>
      <c r="AX70" s="433">
        <v>0</v>
      </c>
      <c r="AY70" s="435"/>
      <c r="AZ70" s="435"/>
      <c r="BA70" s="435">
        <f t="shared" si="0"/>
        <v>1</v>
      </c>
      <c r="BB70" s="435">
        <f t="shared" si="1"/>
        <v>1</v>
      </c>
      <c r="BC70" s="500">
        <f>+IF(BA70=0,+IF(BB70=0,"No programación, No avance",+IF(BB70&gt;0,+IF(BA70=0,BB70/P70))),BB70/BA70)</f>
        <v>1</v>
      </c>
    </row>
    <row r="71" spans="1:56" s="2" customFormat="1" ht="60.75" customHeight="1">
      <c r="A71" s="721"/>
      <c r="B71" s="753"/>
      <c r="C71" s="706"/>
      <c r="D71" s="706"/>
      <c r="E71" s="433" t="s">
        <v>893</v>
      </c>
      <c r="F71" s="433" t="s">
        <v>531</v>
      </c>
      <c r="G71" s="433">
        <v>0.05</v>
      </c>
      <c r="H71" s="433" t="s">
        <v>841</v>
      </c>
      <c r="I71" s="433" t="s">
        <v>73</v>
      </c>
      <c r="J71" s="433" t="s">
        <v>127</v>
      </c>
      <c r="K71" s="433" t="s">
        <v>882</v>
      </c>
      <c r="L71" s="433" t="s">
        <v>776</v>
      </c>
      <c r="M71" s="434">
        <v>44197</v>
      </c>
      <c r="N71" s="434">
        <v>44561</v>
      </c>
      <c r="O71" s="433">
        <f>+R71+U71+X71+AA71+AD71+AG71+AJ71+AM71+AP71+AS71+AV71+AY71</f>
        <v>0</v>
      </c>
      <c r="P71" s="433">
        <v>1</v>
      </c>
      <c r="Q71" s="433">
        <v>0</v>
      </c>
      <c r="R71" s="433">
        <v>0</v>
      </c>
      <c r="S71" s="433" t="s">
        <v>894</v>
      </c>
      <c r="T71" s="433">
        <v>0</v>
      </c>
      <c r="U71" s="433">
        <v>0</v>
      </c>
      <c r="V71" s="433" t="s">
        <v>894</v>
      </c>
      <c r="W71" s="433">
        <v>0</v>
      </c>
      <c r="X71" s="433">
        <v>0</v>
      </c>
      <c r="Y71" s="436" t="s">
        <v>846</v>
      </c>
      <c r="Z71" s="433">
        <v>0</v>
      </c>
      <c r="AA71" s="433">
        <v>0</v>
      </c>
      <c r="AB71" s="436" t="s">
        <v>846</v>
      </c>
      <c r="AC71" s="433">
        <v>0</v>
      </c>
      <c r="AD71" s="433">
        <v>0</v>
      </c>
      <c r="AE71" s="436" t="s">
        <v>846</v>
      </c>
      <c r="AF71" s="433">
        <v>0</v>
      </c>
      <c r="AG71" s="498">
        <v>0</v>
      </c>
      <c r="AH71" s="499" t="s">
        <v>895</v>
      </c>
      <c r="AI71" s="433">
        <v>0</v>
      </c>
      <c r="AJ71" s="433"/>
      <c r="AK71" s="433"/>
      <c r="AL71" s="433">
        <v>1</v>
      </c>
      <c r="AM71" s="433"/>
      <c r="AN71" s="433"/>
      <c r="AO71" s="433">
        <v>0</v>
      </c>
      <c r="AP71" s="433"/>
      <c r="AQ71" s="433"/>
      <c r="AR71" s="433">
        <v>0</v>
      </c>
      <c r="AS71" s="433"/>
      <c r="AT71" s="433"/>
      <c r="AU71" s="433">
        <v>0</v>
      </c>
      <c r="AV71" s="433"/>
      <c r="AW71" s="433"/>
      <c r="AX71" s="433">
        <v>0</v>
      </c>
      <c r="AY71" s="435"/>
      <c r="AZ71" s="435"/>
      <c r="BA71" s="435">
        <f t="shared" si="0"/>
        <v>0</v>
      </c>
      <c r="BB71" s="435">
        <f t="shared" si="1"/>
        <v>0</v>
      </c>
      <c r="BC71" s="500" t="str">
        <f>+IF(BA71=0,+IF(BB71=0,"No programación, No avance",+IF(BB71&gt;0,+IF(BA71=0,BB71/P71))),BB71/BA71)</f>
        <v>No programación, No avance</v>
      </c>
    </row>
    <row r="72" spans="1:56" s="2" customFormat="1" ht="60.75" customHeight="1">
      <c r="A72" s="721"/>
      <c r="B72" s="753"/>
      <c r="C72" s="706"/>
      <c r="D72" s="706"/>
      <c r="E72" s="433" t="s">
        <v>897</v>
      </c>
      <c r="F72" s="433" t="s">
        <v>531</v>
      </c>
      <c r="G72" s="433">
        <v>0.05</v>
      </c>
      <c r="H72" s="433" t="s">
        <v>841</v>
      </c>
      <c r="I72" s="433" t="s">
        <v>73</v>
      </c>
      <c r="J72" s="433" t="s">
        <v>873</v>
      </c>
      <c r="K72" s="433" t="s">
        <v>127</v>
      </c>
      <c r="L72" s="433" t="s">
        <v>776</v>
      </c>
      <c r="M72" s="434">
        <v>44197</v>
      </c>
      <c r="N72" s="434">
        <v>44561</v>
      </c>
      <c r="O72" s="433">
        <f>+R72+U72+X72+AA72+AD72+AG72+AJ72+AM72+AP72+AS72+AV72+AY72</f>
        <v>0</v>
      </c>
      <c r="P72" s="433">
        <v>1</v>
      </c>
      <c r="Q72" s="433">
        <v>0</v>
      </c>
      <c r="R72" s="433">
        <v>0</v>
      </c>
      <c r="S72" s="433" t="s">
        <v>898</v>
      </c>
      <c r="T72" s="433">
        <v>0</v>
      </c>
      <c r="U72" s="433">
        <v>0</v>
      </c>
      <c r="V72" s="433" t="s">
        <v>898</v>
      </c>
      <c r="W72" s="433">
        <v>0</v>
      </c>
      <c r="X72" s="433">
        <v>0</v>
      </c>
      <c r="Y72" s="436" t="s">
        <v>846</v>
      </c>
      <c r="Z72" s="433">
        <v>0</v>
      </c>
      <c r="AA72" s="433">
        <v>0</v>
      </c>
      <c r="AB72" s="436" t="s">
        <v>846</v>
      </c>
      <c r="AC72" s="433">
        <v>0</v>
      </c>
      <c r="AD72" s="433">
        <v>0</v>
      </c>
      <c r="AE72" s="436" t="s">
        <v>846</v>
      </c>
      <c r="AF72" s="433">
        <v>0</v>
      </c>
      <c r="AG72" s="498">
        <v>0</v>
      </c>
      <c r="AH72" s="499" t="s">
        <v>899</v>
      </c>
      <c r="AI72" s="433">
        <v>0</v>
      </c>
      <c r="AJ72" s="433"/>
      <c r="AK72" s="433"/>
      <c r="AL72" s="433">
        <v>0</v>
      </c>
      <c r="AM72" s="433"/>
      <c r="AN72" s="433"/>
      <c r="AO72" s="433">
        <v>1</v>
      </c>
      <c r="AP72" s="433"/>
      <c r="AQ72" s="433"/>
      <c r="AR72" s="433">
        <v>0</v>
      </c>
      <c r="AS72" s="433"/>
      <c r="AT72" s="433"/>
      <c r="AU72" s="433">
        <v>0</v>
      </c>
      <c r="AV72" s="433"/>
      <c r="AW72" s="433"/>
      <c r="AX72" s="433">
        <v>0</v>
      </c>
      <c r="AY72" s="435"/>
      <c r="AZ72" s="435"/>
      <c r="BA72" s="435">
        <f t="shared" ref="BA72:BA113" si="3">+Q72+T72+W72+Z72+AC72+AF72</f>
        <v>0</v>
      </c>
      <c r="BB72" s="435">
        <f t="shared" ref="BB72:BB113" si="4">+R72+U72+X72+AA72+AD72+AG72</f>
        <v>0</v>
      </c>
      <c r="BC72" s="500" t="str">
        <f>+IF(BA72=0,+IF(BB72=0,"No programación, No avance",+IF(BB72&gt;0,+IF(BA72=0,BB72/P72))),BB72/BA72)</f>
        <v>No programación, No avance</v>
      </c>
    </row>
    <row r="73" spans="1:56" s="2" customFormat="1" ht="60.75" customHeight="1">
      <c r="A73" s="721"/>
      <c r="B73" s="753"/>
      <c r="C73" s="706"/>
      <c r="D73" s="706"/>
      <c r="E73" s="433" t="s">
        <v>901</v>
      </c>
      <c r="F73" s="433" t="s">
        <v>472</v>
      </c>
      <c r="G73" s="433">
        <v>0.05</v>
      </c>
      <c r="H73" s="433" t="s">
        <v>841</v>
      </c>
      <c r="I73" s="433" t="s">
        <v>73</v>
      </c>
      <c r="J73" s="433" t="s">
        <v>902</v>
      </c>
      <c r="K73" s="433" t="s">
        <v>903</v>
      </c>
      <c r="L73" s="433" t="s">
        <v>776</v>
      </c>
      <c r="M73" s="434">
        <v>44197</v>
      </c>
      <c r="N73" s="434">
        <v>44561</v>
      </c>
      <c r="O73" s="433">
        <f>+R73+U73+X73+AA73+AD73+AG73+AJ73+AM73+AP73+AS73+AV73+AY73</f>
        <v>1</v>
      </c>
      <c r="P73" s="433">
        <v>1</v>
      </c>
      <c r="Q73" s="433">
        <v>0</v>
      </c>
      <c r="R73" s="433">
        <v>0</v>
      </c>
      <c r="S73" s="433" t="s">
        <v>113</v>
      </c>
      <c r="T73" s="433">
        <v>0</v>
      </c>
      <c r="U73" s="433">
        <v>1</v>
      </c>
      <c r="V73" s="433" t="s">
        <v>904</v>
      </c>
      <c r="W73" s="433">
        <v>0</v>
      </c>
      <c r="X73" s="433">
        <v>0</v>
      </c>
      <c r="Y73" s="436" t="s">
        <v>905</v>
      </c>
      <c r="Z73" s="433">
        <v>1</v>
      </c>
      <c r="AA73" s="433">
        <v>0</v>
      </c>
      <c r="AB73" s="436" t="s">
        <v>905</v>
      </c>
      <c r="AC73" s="433">
        <v>0</v>
      </c>
      <c r="AD73" s="433">
        <v>0</v>
      </c>
      <c r="AE73" s="436" t="s">
        <v>905</v>
      </c>
      <c r="AF73" s="433">
        <v>0</v>
      </c>
      <c r="AG73" s="498">
        <v>0</v>
      </c>
      <c r="AH73" s="499" t="s">
        <v>604</v>
      </c>
      <c r="AI73" s="433">
        <v>0</v>
      </c>
      <c r="AJ73" s="433"/>
      <c r="AK73" s="433"/>
      <c r="AL73" s="433">
        <v>0</v>
      </c>
      <c r="AM73" s="433"/>
      <c r="AN73" s="433"/>
      <c r="AO73" s="433">
        <v>0</v>
      </c>
      <c r="AP73" s="433"/>
      <c r="AQ73" s="433"/>
      <c r="AR73" s="433">
        <v>0</v>
      </c>
      <c r="AS73" s="433"/>
      <c r="AT73" s="433"/>
      <c r="AU73" s="433">
        <v>0</v>
      </c>
      <c r="AV73" s="433"/>
      <c r="AW73" s="433"/>
      <c r="AX73" s="433">
        <v>0</v>
      </c>
      <c r="AY73" s="435"/>
      <c r="AZ73" s="435"/>
      <c r="BA73" s="435">
        <f t="shared" si="3"/>
        <v>1</v>
      </c>
      <c r="BB73" s="435">
        <f t="shared" si="4"/>
        <v>1</v>
      </c>
      <c r="BC73" s="500">
        <f>+IF(BA73=0,+IF(BB73=0,"No programación, No avance",+IF(BB73&gt;0,+IF(BA73=0,BB73/P73))),BB73/BA73)</f>
        <v>1</v>
      </c>
      <c r="BD73" s="47"/>
    </row>
    <row r="74" spans="1:56" s="2" customFormat="1" ht="60.75" customHeight="1">
      <c r="A74" s="721"/>
      <c r="B74" s="753"/>
      <c r="C74" s="706"/>
      <c r="D74" s="706"/>
      <c r="E74" s="433" t="s">
        <v>907</v>
      </c>
      <c r="F74" s="433" t="s">
        <v>472</v>
      </c>
      <c r="G74" s="433">
        <v>0.15</v>
      </c>
      <c r="H74" s="433" t="s">
        <v>841</v>
      </c>
      <c r="I74" s="433" t="s">
        <v>73</v>
      </c>
      <c r="J74" s="433" t="s">
        <v>902</v>
      </c>
      <c r="K74" s="433" t="s">
        <v>903</v>
      </c>
      <c r="L74" s="433" t="s">
        <v>776</v>
      </c>
      <c r="M74" s="434">
        <v>44197</v>
      </c>
      <c r="N74" s="434">
        <v>44561</v>
      </c>
      <c r="O74" s="433">
        <f>+R74+U74+X74+AA74+AD74+AG74+AJ74+AM74+AP74+AS74+AV74+AY74</f>
        <v>1</v>
      </c>
      <c r="P74" s="433">
        <v>1</v>
      </c>
      <c r="Q74" s="433">
        <v>0</v>
      </c>
      <c r="R74" s="433">
        <v>0</v>
      </c>
      <c r="S74" s="433" t="s">
        <v>113</v>
      </c>
      <c r="T74" s="433">
        <v>0</v>
      </c>
      <c r="U74" s="433">
        <v>0</v>
      </c>
      <c r="V74" s="433" t="s">
        <v>908</v>
      </c>
      <c r="W74" s="433">
        <v>1</v>
      </c>
      <c r="X74" s="433">
        <v>1</v>
      </c>
      <c r="Y74" s="436" t="s">
        <v>909</v>
      </c>
      <c r="Z74" s="433">
        <v>0</v>
      </c>
      <c r="AA74" s="433">
        <v>0</v>
      </c>
      <c r="AB74" s="436" t="s">
        <v>910</v>
      </c>
      <c r="AC74" s="433">
        <v>0</v>
      </c>
      <c r="AD74" s="433">
        <v>0</v>
      </c>
      <c r="AE74" s="436" t="s">
        <v>911</v>
      </c>
      <c r="AF74" s="433">
        <v>0</v>
      </c>
      <c r="AG74" s="498">
        <v>0</v>
      </c>
      <c r="AH74" s="499" t="s">
        <v>912</v>
      </c>
      <c r="AI74" s="433">
        <v>0</v>
      </c>
      <c r="AJ74" s="433"/>
      <c r="AK74" s="433"/>
      <c r="AL74" s="433">
        <v>0</v>
      </c>
      <c r="AM74" s="433"/>
      <c r="AN74" s="433"/>
      <c r="AO74" s="433">
        <v>0</v>
      </c>
      <c r="AP74" s="433"/>
      <c r="AQ74" s="433"/>
      <c r="AR74" s="433">
        <v>0</v>
      </c>
      <c r="AS74" s="433"/>
      <c r="AT74" s="433"/>
      <c r="AU74" s="433">
        <v>0</v>
      </c>
      <c r="AV74" s="433"/>
      <c r="AW74" s="433"/>
      <c r="AX74" s="433">
        <v>0</v>
      </c>
      <c r="AY74" s="435"/>
      <c r="AZ74" s="435"/>
      <c r="BA74" s="435">
        <f t="shared" si="3"/>
        <v>1</v>
      </c>
      <c r="BB74" s="435">
        <f t="shared" si="4"/>
        <v>1</v>
      </c>
      <c r="BC74" s="500">
        <f>+IF(BA74=0,+IF(BB74=0,"No programación, No avance",+IF(BB74&gt;0,+IF(BA74=0,BB74/P74))),BB74/BA74)</f>
        <v>1</v>
      </c>
      <c r="BD74" s="47"/>
    </row>
    <row r="75" spans="1:56" s="2" customFormat="1" ht="60.75" customHeight="1">
      <c r="A75" s="721"/>
      <c r="B75" s="753"/>
      <c r="C75" s="706"/>
      <c r="D75" s="706"/>
      <c r="E75" s="433" t="s">
        <v>914</v>
      </c>
      <c r="F75" s="433" t="s">
        <v>472</v>
      </c>
      <c r="G75" s="433">
        <v>0.05</v>
      </c>
      <c r="H75" s="433" t="s">
        <v>841</v>
      </c>
      <c r="I75" s="433" t="s">
        <v>73</v>
      </c>
      <c r="J75" s="433" t="s">
        <v>902</v>
      </c>
      <c r="K75" s="433" t="s">
        <v>915</v>
      </c>
      <c r="L75" s="433" t="s">
        <v>776</v>
      </c>
      <c r="M75" s="434">
        <v>44197</v>
      </c>
      <c r="N75" s="434">
        <v>44561</v>
      </c>
      <c r="O75" s="433">
        <f>+R75+U75+X75+AA75+AD75+AG75+AJ75+AM75+AP75+AS75+AV75+AY75</f>
        <v>6</v>
      </c>
      <c r="P75" s="433">
        <v>15</v>
      </c>
      <c r="Q75" s="433">
        <v>0</v>
      </c>
      <c r="R75" s="433">
        <v>0</v>
      </c>
      <c r="S75" s="433" t="s">
        <v>113</v>
      </c>
      <c r="T75" s="433">
        <v>0</v>
      </c>
      <c r="U75" s="433">
        <v>0</v>
      </c>
      <c r="V75" s="433" t="s">
        <v>113</v>
      </c>
      <c r="W75" s="433">
        <v>1</v>
      </c>
      <c r="X75" s="433">
        <v>1</v>
      </c>
      <c r="Y75" s="436" t="s">
        <v>916</v>
      </c>
      <c r="Z75" s="433">
        <v>2</v>
      </c>
      <c r="AA75" s="433">
        <v>2</v>
      </c>
      <c r="AB75" s="436" t="s">
        <v>917</v>
      </c>
      <c r="AC75" s="433">
        <v>2</v>
      </c>
      <c r="AD75" s="433">
        <v>0</v>
      </c>
      <c r="AE75" s="436" t="s">
        <v>918</v>
      </c>
      <c r="AF75" s="433">
        <v>2</v>
      </c>
      <c r="AG75" s="498">
        <v>3</v>
      </c>
      <c r="AH75" s="499" t="s">
        <v>919</v>
      </c>
      <c r="AI75" s="433">
        <v>3</v>
      </c>
      <c r="AJ75" s="433"/>
      <c r="AK75" s="433"/>
      <c r="AL75" s="433">
        <v>1</v>
      </c>
      <c r="AM75" s="433"/>
      <c r="AN75" s="433"/>
      <c r="AO75" s="433">
        <v>1</v>
      </c>
      <c r="AP75" s="433"/>
      <c r="AQ75" s="433"/>
      <c r="AR75" s="433">
        <v>1</v>
      </c>
      <c r="AS75" s="433"/>
      <c r="AT75" s="433"/>
      <c r="AU75" s="433">
        <v>1</v>
      </c>
      <c r="AV75" s="433"/>
      <c r="AW75" s="433"/>
      <c r="AX75" s="433">
        <v>1</v>
      </c>
      <c r="AY75" s="435"/>
      <c r="AZ75" s="435"/>
      <c r="BA75" s="435">
        <f t="shared" si="3"/>
        <v>7</v>
      </c>
      <c r="BB75" s="435">
        <f t="shared" si="4"/>
        <v>6</v>
      </c>
      <c r="BC75" s="500">
        <f>+IF(BA75=0,+IF(BB75=0,"No programación, No avance",+IF(BB75&gt;0,+IF(BA75=0,BB75/P75))),BB75/BA75)</f>
        <v>0.8571428571428571</v>
      </c>
    </row>
    <row r="76" spans="1:56" s="2" customFormat="1" ht="60.75" customHeight="1">
      <c r="A76" s="721"/>
      <c r="B76" s="753"/>
      <c r="C76" s="706"/>
      <c r="D76" s="706"/>
      <c r="E76" s="433" t="s">
        <v>921</v>
      </c>
      <c r="F76" s="433" t="s">
        <v>472</v>
      </c>
      <c r="G76" s="433">
        <v>0.05</v>
      </c>
      <c r="H76" s="433" t="s">
        <v>841</v>
      </c>
      <c r="I76" s="433" t="s">
        <v>73</v>
      </c>
      <c r="J76" s="433" t="s">
        <v>902</v>
      </c>
      <c r="K76" s="433" t="s">
        <v>922</v>
      </c>
      <c r="L76" s="433" t="s">
        <v>776</v>
      </c>
      <c r="M76" s="434">
        <v>44197</v>
      </c>
      <c r="N76" s="434">
        <v>44561</v>
      </c>
      <c r="O76" s="433">
        <f>+R76+U76+X76+AA76+AD76+AG76+AJ76+AM76+AP76+AS76+AV76+AY76</f>
        <v>3</v>
      </c>
      <c r="P76" s="433">
        <v>6</v>
      </c>
      <c r="Q76" s="433">
        <v>0</v>
      </c>
      <c r="R76" s="433">
        <v>0</v>
      </c>
      <c r="S76" s="433" t="s">
        <v>894</v>
      </c>
      <c r="T76" s="433">
        <v>0</v>
      </c>
      <c r="U76" s="433">
        <v>0</v>
      </c>
      <c r="V76" s="433" t="s">
        <v>894</v>
      </c>
      <c r="W76" s="433">
        <v>0</v>
      </c>
      <c r="X76" s="433">
        <v>0</v>
      </c>
      <c r="Y76" s="436" t="s">
        <v>846</v>
      </c>
      <c r="Z76" s="433">
        <v>0</v>
      </c>
      <c r="AA76" s="433">
        <v>0</v>
      </c>
      <c r="AB76" s="436" t="s">
        <v>923</v>
      </c>
      <c r="AC76" s="433">
        <v>0</v>
      </c>
      <c r="AD76" s="433">
        <v>0</v>
      </c>
      <c r="AE76" s="436" t="s">
        <v>846</v>
      </c>
      <c r="AF76" s="433">
        <v>1</v>
      </c>
      <c r="AG76" s="498">
        <v>3</v>
      </c>
      <c r="AH76" s="499" t="s">
        <v>924</v>
      </c>
      <c r="AI76" s="433">
        <v>1</v>
      </c>
      <c r="AJ76" s="433"/>
      <c r="AK76" s="433"/>
      <c r="AL76" s="433">
        <v>1</v>
      </c>
      <c r="AM76" s="433"/>
      <c r="AN76" s="433"/>
      <c r="AO76" s="433">
        <v>1</v>
      </c>
      <c r="AP76" s="433"/>
      <c r="AQ76" s="433"/>
      <c r="AR76" s="433">
        <v>1</v>
      </c>
      <c r="AS76" s="433"/>
      <c r="AT76" s="433"/>
      <c r="AU76" s="433">
        <v>1</v>
      </c>
      <c r="AV76" s="433"/>
      <c r="AW76" s="433"/>
      <c r="AX76" s="433">
        <v>0</v>
      </c>
      <c r="AY76" s="435"/>
      <c r="AZ76" s="435"/>
      <c r="BA76" s="435">
        <f t="shared" si="3"/>
        <v>1</v>
      </c>
      <c r="BB76" s="435">
        <f t="shared" si="4"/>
        <v>3</v>
      </c>
      <c r="BC76" s="500">
        <f>+IF(BA76=0,+IF(BB76=0,"No programación, No avance",+IF(BB76&gt;0,+IF(BA76=0,BB76/P76))),BB76/BA76)</f>
        <v>3</v>
      </c>
    </row>
    <row r="77" spans="1:56" s="2" customFormat="1" ht="60.75" customHeight="1">
      <c r="A77" s="721"/>
      <c r="B77" s="753"/>
      <c r="C77" s="706" t="s">
        <v>111</v>
      </c>
      <c r="D77" s="706" t="s">
        <v>926</v>
      </c>
      <c r="E77" s="433" t="s">
        <v>927</v>
      </c>
      <c r="F77" s="433" t="s">
        <v>472</v>
      </c>
      <c r="G77" s="433">
        <v>0.1</v>
      </c>
      <c r="H77" s="433" t="s">
        <v>928</v>
      </c>
      <c r="I77" s="433" t="s">
        <v>73</v>
      </c>
      <c r="J77" s="433" t="s">
        <v>127</v>
      </c>
      <c r="K77" s="433" t="s">
        <v>929</v>
      </c>
      <c r="L77" s="433" t="s">
        <v>776</v>
      </c>
      <c r="M77" s="434">
        <v>44197</v>
      </c>
      <c r="N77" s="434">
        <v>44561</v>
      </c>
      <c r="O77" s="433">
        <f>+R77+U77+X77+AA77+AD77+AG77+AJ77+AM77+AP77+AS77+AV77+AY77</f>
        <v>1</v>
      </c>
      <c r="P77" s="433">
        <v>1</v>
      </c>
      <c r="Q77" s="433">
        <v>0</v>
      </c>
      <c r="R77" s="433">
        <v>0</v>
      </c>
      <c r="S77" s="433" t="s">
        <v>113</v>
      </c>
      <c r="T77" s="433">
        <v>0</v>
      </c>
      <c r="U77" s="433">
        <v>0</v>
      </c>
      <c r="V77" s="433" t="s">
        <v>131</v>
      </c>
      <c r="W77" s="433">
        <v>0</v>
      </c>
      <c r="X77" s="433">
        <v>0</v>
      </c>
      <c r="Y77" s="436" t="s">
        <v>132</v>
      </c>
      <c r="Z77" s="433">
        <v>1</v>
      </c>
      <c r="AA77" s="433">
        <v>0</v>
      </c>
      <c r="AB77" s="436" t="s">
        <v>930</v>
      </c>
      <c r="AC77" s="433">
        <v>0</v>
      </c>
      <c r="AD77" s="433">
        <v>1</v>
      </c>
      <c r="AE77" s="502" t="s">
        <v>931</v>
      </c>
      <c r="AF77" s="433">
        <v>0</v>
      </c>
      <c r="AG77" s="503">
        <v>0</v>
      </c>
      <c r="AH77" s="504" t="s">
        <v>932</v>
      </c>
      <c r="AI77" s="433">
        <v>0</v>
      </c>
      <c r="AJ77" s="433"/>
      <c r="AK77" s="433"/>
      <c r="AL77" s="433">
        <v>0</v>
      </c>
      <c r="AM77" s="433"/>
      <c r="AN77" s="433"/>
      <c r="AO77" s="433">
        <v>0</v>
      </c>
      <c r="AP77" s="433"/>
      <c r="AQ77" s="433"/>
      <c r="AR77" s="433">
        <v>0</v>
      </c>
      <c r="AS77" s="433"/>
      <c r="AT77" s="433"/>
      <c r="AU77" s="433">
        <v>0</v>
      </c>
      <c r="AV77" s="433"/>
      <c r="AW77" s="433"/>
      <c r="AX77" s="433">
        <v>0</v>
      </c>
      <c r="AY77" s="435"/>
      <c r="AZ77" s="435"/>
      <c r="BA77" s="435">
        <f t="shared" si="3"/>
        <v>1</v>
      </c>
      <c r="BB77" s="435">
        <f t="shared" si="4"/>
        <v>1</v>
      </c>
      <c r="BC77" s="500">
        <f>+IF(BA77=0,+IF(BB77=0,"No programación, No avance",+IF(BB77&gt;0,+IF(BA77=0,BB77/P77))),BB77/BA77)</f>
        <v>1</v>
      </c>
    </row>
    <row r="78" spans="1:56" s="2" customFormat="1" ht="60.75" customHeight="1">
      <c r="A78" s="721"/>
      <c r="B78" s="753"/>
      <c r="C78" s="706"/>
      <c r="D78" s="706"/>
      <c r="E78" s="433" t="s">
        <v>934</v>
      </c>
      <c r="F78" s="433" t="s">
        <v>472</v>
      </c>
      <c r="G78" s="433">
        <v>0.2</v>
      </c>
      <c r="H78" s="433" t="s">
        <v>928</v>
      </c>
      <c r="I78" s="433" t="s">
        <v>73</v>
      </c>
      <c r="J78" s="433" t="s">
        <v>232</v>
      </c>
      <c r="K78" s="433" t="s">
        <v>935</v>
      </c>
      <c r="L78" s="433" t="s">
        <v>776</v>
      </c>
      <c r="M78" s="434">
        <v>44197</v>
      </c>
      <c r="N78" s="434">
        <v>44561</v>
      </c>
      <c r="O78" s="433">
        <f>+R78+U78+X78+AA78+AD78+AG78+AJ78+AM78+AP78+AS78+AV78+AY78</f>
        <v>1</v>
      </c>
      <c r="P78" s="433">
        <v>15</v>
      </c>
      <c r="Q78" s="433">
        <v>0</v>
      </c>
      <c r="R78" s="433">
        <v>0</v>
      </c>
      <c r="S78" s="433" t="s">
        <v>113</v>
      </c>
      <c r="T78" s="433">
        <v>0</v>
      </c>
      <c r="U78" s="433">
        <v>0</v>
      </c>
      <c r="V78" s="433" t="s">
        <v>113</v>
      </c>
      <c r="W78" s="433">
        <v>0</v>
      </c>
      <c r="X78" s="433">
        <v>0</v>
      </c>
      <c r="Y78" s="436" t="s">
        <v>936</v>
      </c>
      <c r="Z78" s="433">
        <v>2</v>
      </c>
      <c r="AA78" s="433">
        <v>0</v>
      </c>
      <c r="AB78" s="436" t="s">
        <v>937</v>
      </c>
      <c r="AC78" s="433">
        <v>2</v>
      </c>
      <c r="AD78" s="501">
        <v>0</v>
      </c>
      <c r="AE78" s="502" t="s">
        <v>846</v>
      </c>
      <c r="AF78" s="433">
        <v>3</v>
      </c>
      <c r="AG78" s="503">
        <v>1</v>
      </c>
      <c r="AH78" s="504" t="s">
        <v>938</v>
      </c>
      <c r="AI78" s="433">
        <v>3</v>
      </c>
      <c r="AJ78" s="433"/>
      <c r="AK78" s="433"/>
      <c r="AL78" s="433">
        <v>5</v>
      </c>
      <c r="AM78" s="433"/>
      <c r="AN78" s="433"/>
      <c r="AO78" s="433">
        <v>0</v>
      </c>
      <c r="AP78" s="433"/>
      <c r="AQ78" s="433"/>
      <c r="AR78" s="433">
        <v>0</v>
      </c>
      <c r="AS78" s="433"/>
      <c r="AT78" s="433"/>
      <c r="AU78" s="433">
        <v>0</v>
      </c>
      <c r="AV78" s="433"/>
      <c r="AW78" s="433"/>
      <c r="AX78" s="433">
        <v>0</v>
      </c>
      <c r="AY78" s="435"/>
      <c r="AZ78" s="435"/>
      <c r="BA78" s="435">
        <f t="shared" si="3"/>
        <v>7</v>
      </c>
      <c r="BB78" s="435">
        <f t="shared" si="4"/>
        <v>1</v>
      </c>
      <c r="BC78" s="500">
        <f>+IF(BA78=0,+IF(BB78=0,"No programación, No avance",+IF(BB78&gt;0,+IF(BA78=0,BB78/P78))),BB78/BA78)</f>
        <v>0.14285714285714285</v>
      </c>
    </row>
    <row r="79" spans="1:56" s="2" customFormat="1" ht="60.75" customHeight="1">
      <c r="A79" s="721"/>
      <c r="B79" s="753"/>
      <c r="C79" s="706"/>
      <c r="D79" s="706"/>
      <c r="E79" s="433" t="s">
        <v>940</v>
      </c>
      <c r="F79" s="433" t="s">
        <v>472</v>
      </c>
      <c r="G79" s="433">
        <v>0.2</v>
      </c>
      <c r="H79" s="433" t="s">
        <v>928</v>
      </c>
      <c r="I79" s="433" t="s">
        <v>73</v>
      </c>
      <c r="J79" s="433" t="s">
        <v>127</v>
      </c>
      <c r="K79" s="433" t="s">
        <v>941</v>
      </c>
      <c r="L79" s="433" t="s">
        <v>776</v>
      </c>
      <c r="M79" s="434">
        <v>44197</v>
      </c>
      <c r="N79" s="434">
        <v>44561</v>
      </c>
      <c r="O79" s="433">
        <f>+R79+U79+X79+AA79+AD79+AG79+AJ79+AM79+AP79+AS79+AV79+AY79</f>
        <v>0</v>
      </c>
      <c r="P79" s="433">
        <v>1</v>
      </c>
      <c r="Q79" s="433">
        <v>0</v>
      </c>
      <c r="R79" s="433">
        <v>0</v>
      </c>
      <c r="S79" s="433" t="s">
        <v>113</v>
      </c>
      <c r="T79" s="433">
        <v>0</v>
      </c>
      <c r="U79" s="433">
        <v>0</v>
      </c>
      <c r="V79" s="433" t="s">
        <v>113</v>
      </c>
      <c r="W79" s="433">
        <v>0</v>
      </c>
      <c r="X79" s="433">
        <v>0</v>
      </c>
      <c r="Y79" s="436" t="s">
        <v>942</v>
      </c>
      <c r="Z79" s="433">
        <v>0</v>
      </c>
      <c r="AA79" s="433">
        <v>0</v>
      </c>
      <c r="AB79" s="436" t="s">
        <v>846</v>
      </c>
      <c r="AC79" s="433">
        <v>0</v>
      </c>
      <c r="AD79" s="501">
        <v>0</v>
      </c>
      <c r="AE79" s="502" t="s">
        <v>846</v>
      </c>
      <c r="AF79" s="433">
        <v>0</v>
      </c>
      <c r="AG79" s="503">
        <v>0</v>
      </c>
      <c r="AH79" s="504" t="s">
        <v>943</v>
      </c>
      <c r="AI79" s="433">
        <v>0</v>
      </c>
      <c r="AJ79" s="433"/>
      <c r="AK79" s="433"/>
      <c r="AL79" s="433">
        <v>0</v>
      </c>
      <c r="AM79" s="433"/>
      <c r="AN79" s="433"/>
      <c r="AO79" s="433">
        <v>1</v>
      </c>
      <c r="AP79" s="433"/>
      <c r="AQ79" s="433"/>
      <c r="AR79" s="433">
        <v>0</v>
      </c>
      <c r="AS79" s="433"/>
      <c r="AT79" s="433"/>
      <c r="AU79" s="433">
        <v>0</v>
      </c>
      <c r="AV79" s="433"/>
      <c r="AW79" s="433"/>
      <c r="AX79" s="433">
        <v>0</v>
      </c>
      <c r="AY79" s="435"/>
      <c r="AZ79" s="435"/>
      <c r="BA79" s="435">
        <f t="shared" si="3"/>
        <v>0</v>
      </c>
      <c r="BB79" s="435">
        <f t="shared" si="4"/>
        <v>0</v>
      </c>
      <c r="BC79" s="500" t="str">
        <f>+IF(BA79=0,+IF(BB79=0,"No programación, No avance",+IF(BB79&gt;0,+IF(BA79=0,BB79/P79))),BB79/BA79)</f>
        <v>No programación, No avance</v>
      </c>
    </row>
    <row r="80" spans="1:56" s="2" customFormat="1" ht="60.75" customHeight="1">
      <c r="A80" s="721"/>
      <c r="B80" s="753"/>
      <c r="C80" s="706"/>
      <c r="D80" s="706"/>
      <c r="E80" s="433" t="s">
        <v>945</v>
      </c>
      <c r="F80" s="433" t="s">
        <v>472</v>
      </c>
      <c r="G80" s="433">
        <v>0.1</v>
      </c>
      <c r="H80" s="433" t="s">
        <v>928</v>
      </c>
      <c r="I80" s="433" t="s">
        <v>73</v>
      </c>
      <c r="J80" s="433" t="s">
        <v>903</v>
      </c>
      <c r="K80" s="433" t="s">
        <v>941</v>
      </c>
      <c r="L80" s="433" t="s">
        <v>776</v>
      </c>
      <c r="M80" s="434">
        <v>44197</v>
      </c>
      <c r="N80" s="434">
        <v>44561</v>
      </c>
      <c r="O80" s="433">
        <f>+R80+U80+X80+AA80+AD80+AG80+AJ80+AM80+AP80+AS80+AV80+AY80</f>
        <v>0</v>
      </c>
      <c r="P80" s="433">
        <v>15</v>
      </c>
      <c r="Q80" s="433">
        <v>0</v>
      </c>
      <c r="R80" s="433">
        <v>0</v>
      </c>
      <c r="S80" s="433" t="s">
        <v>113</v>
      </c>
      <c r="T80" s="433">
        <v>0</v>
      </c>
      <c r="U80" s="433">
        <v>0</v>
      </c>
      <c r="V80" s="433" t="s">
        <v>113</v>
      </c>
      <c r="W80" s="433">
        <v>0</v>
      </c>
      <c r="X80" s="433">
        <v>0</v>
      </c>
      <c r="Y80" s="436" t="s">
        <v>942</v>
      </c>
      <c r="Z80" s="433">
        <v>0</v>
      </c>
      <c r="AA80" s="433">
        <v>0</v>
      </c>
      <c r="AB80" s="436" t="s">
        <v>846</v>
      </c>
      <c r="AC80" s="433">
        <v>0</v>
      </c>
      <c r="AD80" s="501">
        <v>0</v>
      </c>
      <c r="AE80" s="502" t="s">
        <v>846</v>
      </c>
      <c r="AF80" s="433">
        <v>0</v>
      </c>
      <c r="AG80" s="503">
        <v>0</v>
      </c>
      <c r="AH80" s="504" t="s">
        <v>943</v>
      </c>
      <c r="AI80" s="433">
        <v>0</v>
      </c>
      <c r="AJ80" s="433"/>
      <c r="AK80" s="433"/>
      <c r="AL80" s="433">
        <v>0</v>
      </c>
      <c r="AM80" s="433"/>
      <c r="AN80" s="433"/>
      <c r="AO80" s="433">
        <v>0</v>
      </c>
      <c r="AP80" s="433"/>
      <c r="AQ80" s="433"/>
      <c r="AR80" s="433">
        <v>6</v>
      </c>
      <c r="AS80" s="433"/>
      <c r="AT80" s="433"/>
      <c r="AU80" s="433">
        <v>9</v>
      </c>
      <c r="AV80" s="433"/>
      <c r="AW80" s="433"/>
      <c r="AX80" s="433">
        <v>0</v>
      </c>
      <c r="AY80" s="435"/>
      <c r="AZ80" s="435"/>
      <c r="BA80" s="435">
        <f t="shared" si="3"/>
        <v>0</v>
      </c>
      <c r="BB80" s="435">
        <f t="shared" si="4"/>
        <v>0</v>
      </c>
      <c r="BC80" s="500" t="str">
        <f>+IF(BA80=0,+IF(BB80=0,"No programación, No avance",+IF(BB80&gt;0,+IF(BA80=0,BB80/P80))),BB80/BA80)</f>
        <v>No programación, No avance</v>
      </c>
    </row>
    <row r="81" spans="1:56" s="2" customFormat="1" ht="60.75" customHeight="1">
      <c r="A81" s="721"/>
      <c r="B81" s="753"/>
      <c r="C81" s="706"/>
      <c r="D81" s="706"/>
      <c r="E81" s="433" t="s">
        <v>947</v>
      </c>
      <c r="F81" s="433" t="s">
        <v>472</v>
      </c>
      <c r="G81" s="433">
        <v>0.1</v>
      </c>
      <c r="H81" s="433" t="s">
        <v>928</v>
      </c>
      <c r="I81" s="433" t="s">
        <v>73</v>
      </c>
      <c r="J81" s="433" t="s">
        <v>903</v>
      </c>
      <c r="K81" s="433" t="s">
        <v>941</v>
      </c>
      <c r="L81" s="433" t="s">
        <v>776</v>
      </c>
      <c r="M81" s="434">
        <v>44197</v>
      </c>
      <c r="N81" s="434">
        <v>44561</v>
      </c>
      <c r="O81" s="433">
        <f>+R81+U81+X81+AA81+AD81+AG81+AJ81+AM81+AP81+AS81+AV81+AY81</f>
        <v>0</v>
      </c>
      <c r="P81" s="433">
        <v>1</v>
      </c>
      <c r="Q81" s="433">
        <v>0</v>
      </c>
      <c r="R81" s="433">
        <v>0</v>
      </c>
      <c r="S81" s="433" t="s">
        <v>113</v>
      </c>
      <c r="T81" s="433">
        <v>0</v>
      </c>
      <c r="U81" s="433">
        <v>0</v>
      </c>
      <c r="V81" s="433" t="s">
        <v>113</v>
      </c>
      <c r="W81" s="433">
        <v>0</v>
      </c>
      <c r="X81" s="433">
        <v>0</v>
      </c>
      <c r="Y81" s="436" t="s">
        <v>942</v>
      </c>
      <c r="Z81" s="433">
        <v>0</v>
      </c>
      <c r="AA81" s="433">
        <v>0</v>
      </c>
      <c r="AB81" s="436" t="s">
        <v>948</v>
      </c>
      <c r="AC81" s="433">
        <v>0</v>
      </c>
      <c r="AD81" s="501">
        <v>0</v>
      </c>
      <c r="AE81" s="502" t="s">
        <v>846</v>
      </c>
      <c r="AF81" s="433">
        <v>0</v>
      </c>
      <c r="AG81" s="503">
        <v>0</v>
      </c>
      <c r="AH81" s="504" t="s">
        <v>943</v>
      </c>
      <c r="AI81" s="433">
        <v>0</v>
      </c>
      <c r="AJ81" s="433"/>
      <c r="AK81" s="433"/>
      <c r="AL81" s="433">
        <v>0</v>
      </c>
      <c r="AM81" s="433"/>
      <c r="AN81" s="433"/>
      <c r="AO81" s="433">
        <v>0</v>
      </c>
      <c r="AP81" s="433"/>
      <c r="AQ81" s="433"/>
      <c r="AR81" s="433">
        <v>0</v>
      </c>
      <c r="AS81" s="433"/>
      <c r="AT81" s="433"/>
      <c r="AU81" s="433">
        <v>0</v>
      </c>
      <c r="AV81" s="433"/>
      <c r="AW81" s="433"/>
      <c r="AX81" s="433">
        <v>1</v>
      </c>
      <c r="AY81" s="435"/>
      <c r="AZ81" s="435"/>
      <c r="BA81" s="435">
        <f t="shared" si="3"/>
        <v>0</v>
      </c>
      <c r="BB81" s="435">
        <f t="shared" si="4"/>
        <v>0</v>
      </c>
      <c r="BC81" s="500" t="str">
        <f>+IF(BA81=0,+IF(BB81=0,"No programación, No avance",+IF(BB81&gt;0,+IF(BA81=0,BB81/P81))),BB81/BA81)</f>
        <v>No programación, No avance</v>
      </c>
    </row>
    <row r="82" spans="1:56" s="2" customFormat="1" ht="60.75" customHeight="1">
      <c r="A82" s="721"/>
      <c r="B82" s="753"/>
      <c r="C82" s="706"/>
      <c r="D82" s="706"/>
      <c r="E82" s="433" t="s">
        <v>950</v>
      </c>
      <c r="F82" s="433" t="s">
        <v>472</v>
      </c>
      <c r="G82" s="433">
        <v>0.2</v>
      </c>
      <c r="H82" s="433" t="s">
        <v>928</v>
      </c>
      <c r="I82" s="433" t="s">
        <v>73</v>
      </c>
      <c r="J82" s="433" t="s">
        <v>127</v>
      </c>
      <c r="K82" s="433" t="s">
        <v>929</v>
      </c>
      <c r="L82" s="433" t="s">
        <v>776</v>
      </c>
      <c r="M82" s="434">
        <v>44197</v>
      </c>
      <c r="N82" s="434">
        <v>44561</v>
      </c>
      <c r="O82" s="433">
        <f>+R82+U82+X82+AA82+AD82+AG82+AJ82+AM82+AP82+AS82+AV82+AY82</f>
        <v>0</v>
      </c>
      <c r="P82" s="433">
        <v>10</v>
      </c>
      <c r="Q82" s="433">
        <v>0</v>
      </c>
      <c r="R82" s="433">
        <v>0</v>
      </c>
      <c r="S82" s="433" t="s">
        <v>113</v>
      </c>
      <c r="T82" s="433">
        <v>0</v>
      </c>
      <c r="U82" s="433">
        <v>0</v>
      </c>
      <c r="V82" s="433" t="s">
        <v>951</v>
      </c>
      <c r="W82" s="433">
        <v>0</v>
      </c>
      <c r="X82" s="433">
        <v>0</v>
      </c>
      <c r="Y82" s="436" t="s">
        <v>952</v>
      </c>
      <c r="Z82" s="433">
        <v>10</v>
      </c>
      <c r="AA82" s="433">
        <v>0</v>
      </c>
      <c r="AB82" s="436" t="s">
        <v>953</v>
      </c>
      <c r="AC82" s="433">
        <v>0</v>
      </c>
      <c r="AD82" s="501">
        <v>0</v>
      </c>
      <c r="AE82" s="502" t="s">
        <v>846</v>
      </c>
      <c r="AF82" s="433">
        <v>0</v>
      </c>
      <c r="AG82" s="503">
        <v>0</v>
      </c>
      <c r="AH82" s="504" t="s">
        <v>943</v>
      </c>
      <c r="AI82" s="433">
        <v>0</v>
      </c>
      <c r="AJ82" s="433"/>
      <c r="AK82" s="433"/>
      <c r="AL82" s="433">
        <v>0</v>
      </c>
      <c r="AM82" s="433"/>
      <c r="AN82" s="433"/>
      <c r="AO82" s="433">
        <v>0</v>
      </c>
      <c r="AP82" s="433"/>
      <c r="AQ82" s="433"/>
      <c r="AR82" s="433">
        <v>0</v>
      </c>
      <c r="AS82" s="433"/>
      <c r="AT82" s="433"/>
      <c r="AU82" s="433">
        <v>0</v>
      </c>
      <c r="AV82" s="433"/>
      <c r="AW82" s="433"/>
      <c r="AX82" s="433">
        <v>0</v>
      </c>
      <c r="AY82" s="435"/>
      <c r="AZ82" s="435"/>
      <c r="BA82" s="435">
        <f t="shared" si="3"/>
        <v>10</v>
      </c>
      <c r="BB82" s="435">
        <f t="shared" si="4"/>
        <v>0</v>
      </c>
      <c r="BC82" s="500">
        <f>+IF(BA82=0,+IF(BB82=0,"No programación, No avance",+IF(BB82&gt;0,+IF(BA82=0,BB82/P82))),BB82/BA82)</f>
        <v>0</v>
      </c>
    </row>
    <row r="83" spans="1:56" s="2" customFormat="1" ht="60.75" customHeight="1">
      <c r="A83" s="721"/>
      <c r="B83" s="753"/>
      <c r="C83" s="706"/>
      <c r="D83" s="706"/>
      <c r="E83" s="433" t="s">
        <v>955</v>
      </c>
      <c r="F83" s="433" t="s">
        <v>472</v>
      </c>
      <c r="G83" s="433">
        <v>0.1</v>
      </c>
      <c r="H83" s="433" t="s">
        <v>928</v>
      </c>
      <c r="I83" s="433" t="s">
        <v>73</v>
      </c>
      <c r="J83" s="433" t="s">
        <v>127</v>
      </c>
      <c r="K83" s="433" t="s">
        <v>935</v>
      </c>
      <c r="L83" s="433" t="s">
        <v>776</v>
      </c>
      <c r="M83" s="434">
        <v>44197</v>
      </c>
      <c r="N83" s="434">
        <v>44561</v>
      </c>
      <c r="O83" s="433">
        <f>+R83+U83+X83+AA83+AD83+AG83+AJ83+AM83+AP83+AS83+AV83+AY83</f>
        <v>0</v>
      </c>
      <c r="P83" s="433">
        <v>30</v>
      </c>
      <c r="Q83" s="433">
        <v>0</v>
      </c>
      <c r="R83" s="433">
        <v>0</v>
      </c>
      <c r="S83" s="433" t="s">
        <v>113</v>
      </c>
      <c r="T83" s="433">
        <v>0</v>
      </c>
      <c r="U83" s="433">
        <v>0</v>
      </c>
      <c r="V83" s="433" t="s">
        <v>113</v>
      </c>
      <c r="W83" s="433">
        <v>2</v>
      </c>
      <c r="X83" s="433">
        <v>0</v>
      </c>
      <c r="Y83" s="436" t="s">
        <v>942</v>
      </c>
      <c r="Z83" s="433">
        <v>2</v>
      </c>
      <c r="AA83" s="433">
        <v>0</v>
      </c>
      <c r="AB83" s="436" t="s">
        <v>846</v>
      </c>
      <c r="AC83" s="433">
        <v>3</v>
      </c>
      <c r="AD83" s="501">
        <v>0</v>
      </c>
      <c r="AE83" s="502" t="s">
        <v>846</v>
      </c>
      <c r="AF83" s="433">
        <v>3</v>
      </c>
      <c r="AG83" s="503">
        <v>0</v>
      </c>
      <c r="AH83" s="504" t="s">
        <v>956</v>
      </c>
      <c r="AI83" s="433">
        <v>3</v>
      </c>
      <c r="AJ83" s="433"/>
      <c r="AK83" s="433"/>
      <c r="AL83" s="433">
        <v>3</v>
      </c>
      <c r="AM83" s="433"/>
      <c r="AN83" s="433"/>
      <c r="AO83" s="433">
        <v>4</v>
      </c>
      <c r="AP83" s="433"/>
      <c r="AQ83" s="433"/>
      <c r="AR83" s="433">
        <v>4</v>
      </c>
      <c r="AS83" s="433"/>
      <c r="AT83" s="433"/>
      <c r="AU83" s="433">
        <v>3</v>
      </c>
      <c r="AV83" s="433"/>
      <c r="AW83" s="433"/>
      <c r="AX83" s="433">
        <v>3</v>
      </c>
      <c r="AY83" s="435"/>
      <c r="AZ83" s="435"/>
      <c r="BA83" s="435">
        <f t="shared" si="3"/>
        <v>10</v>
      </c>
      <c r="BB83" s="435">
        <f t="shared" si="4"/>
        <v>0</v>
      </c>
      <c r="BC83" s="500">
        <f>+IF(BA83=0,+IF(BB83=0,"No programación, No avance",+IF(BB83&gt;0,+IF(BA83=0,BB83/P83))),BB83/BA83)</f>
        <v>0</v>
      </c>
    </row>
    <row r="84" spans="1:56" s="2" customFormat="1" ht="60.75" customHeight="1">
      <c r="A84" s="721"/>
      <c r="B84" s="753"/>
      <c r="C84" s="706" t="s">
        <v>134</v>
      </c>
      <c r="D84" s="706" t="s">
        <v>958</v>
      </c>
      <c r="E84" s="433" t="s">
        <v>959</v>
      </c>
      <c r="F84" s="433" t="s">
        <v>472</v>
      </c>
      <c r="G84" s="433">
        <v>0.15</v>
      </c>
      <c r="H84" s="433" t="s">
        <v>137</v>
      </c>
      <c r="I84" s="433" t="s">
        <v>73</v>
      </c>
      <c r="J84" s="433" t="s">
        <v>72</v>
      </c>
      <c r="K84" s="433" t="s">
        <v>960</v>
      </c>
      <c r="L84" s="433" t="s">
        <v>776</v>
      </c>
      <c r="M84" s="434">
        <v>44197</v>
      </c>
      <c r="N84" s="434">
        <v>44561</v>
      </c>
      <c r="O84" s="433">
        <f>+R84+U84+X84+AA84+AD84+AG84+AJ84+AM84+AP84+AS84+AV84+AY84</f>
        <v>8</v>
      </c>
      <c r="P84" s="433">
        <v>5</v>
      </c>
      <c r="Q84" s="433">
        <v>0</v>
      </c>
      <c r="R84" s="433">
        <v>0</v>
      </c>
      <c r="S84" s="433" t="s">
        <v>113</v>
      </c>
      <c r="T84" s="433">
        <v>2</v>
      </c>
      <c r="U84" s="433">
        <v>4</v>
      </c>
      <c r="V84" s="433" t="s">
        <v>961</v>
      </c>
      <c r="W84" s="433">
        <v>3</v>
      </c>
      <c r="X84" s="433">
        <v>4</v>
      </c>
      <c r="Y84" s="436" t="s">
        <v>135</v>
      </c>
      <c r="Z84" s="433">
        <v>0</v>
      </c>
      <c r="AA84" s="433">
        <v>0</v>
      </c>
      <c r="AB84" s="436" t="s">
        <v>136</v>
      </c>
      <c r="AC84" s="433">
        <v>0</v>
      </c>
      <c r="AD84" s="433">
        <v>0</v>
      </c>
      <c r="AE84" s="502" t="s">
        <v>962</v>
      </c>
      <c r="AF84" s="433">
        <v>0</v>
      </c>
      <c r="AG84" s="503">
        <v>0</v>
      </c>
      <c r="AH84" s="504" t="s">
        <v>963</v>
      </c>
      <c r="AI84" s="433">
        <v>0</v>
      </c>
      <c r="AJ84" s="433"/>
      <c r="AK84" s="433"/>
      <c r="AL84" s="433">
        <v>0</v>
      </c>
      <c r="AM84" s="433"/>
      <c r="AN84" s="433"/>
      <c r="AO84" s="433">
        <v>0</v>
      </c>
      <c r="AP84" s="433"/>
      <c r="AQ84" s="433"/>
      <c r="AR84" s="433">
        <v>0</v>
      </c>
      <c r="AS84" s="433"/>
      <c r="AT84" s="433"/>
      <c r="AU84" s="433">
        <v>0</v>
      </c>
      <c r="AV84" s="433"/>
      <c r="AW84" s="433"/>
      <c r="AX84" s="433">
        <v>0</v>
      </c>
      <c r="AY84" s="435"/>
      <c r="AZ84" s="435"/>
      <c r="BA84" s="435">
        <f t="shared" si="3"/>
        <v>5</v>
      </c>
      <c r="BB84" s="435">
        <f t="shared" si="4"/>
        <v>8</v>
      </c>
      <c r="BC84" s="500">
        <f>+IF(BA84=0,+IF(BB84=0,"No programación, No avance",+IF(BB84&gt;0,+IF(BA84=0,BB84/P84))),BB84/BA84)</f>
        <v>1.6</v>
      </c>
    </row>
    <row r="85" spans="1:56" s="2" customFormat="1" ht="60.75" customHeight="1">
      <c r="A85" s="721"/>
      <c r="B85" s="753"/>
      <c r="C85" s="706"/>
      <c r="D85" s="706"/>
      <c r="E85" s="433" t="s">
        <v>965</v>
      </c>
      <c r="F85" s="433" t="s">
        <v>472</v>
      </c>
      <c r="G85" s="433">
        <v>0.05</v>
      </c>
      <c r="H85" s="433" t="s">
        <v>137</v>
      </c>
      <c r="I85" s="433" t="s">
        <v>73</v>
      </c>
      <c r="J85" s="433" t="s">
        <v>72</v>
      </c>
      <c r="K85" s="433" t="s">
        <v>960</v>
      </c>
      <c r="L85" s="433" t="s">
        <v>776</v>
      </c>
      <c r="M85" s="434">
        <v>44197</v>
      </c>
      <c r="N85" s="434">
        <v>44561</v>
      </c>
      <c r="O85" s="433">
        <f>+R85+U85+X85+AA85+AD85+AG85+AJ85+AM85+AP85+AS85+AV85+AY85</f>
        <v>4</v>
      </c>
      <c r="P85" s="433">
        <v>10</v>
      </c>
      <c r="Q85" s="433">
        <v>0</v>
      </c>
      <c r="R85" s="433">
        <v>0</v>
      </c>
      <c r="S85" s="433" t="s">
        <v>113</v>
      </c>
      <c r="T85" s="433">
        <v>0</v>
      </c>
      <c r="U85" s="433">
        <v>1</v>
      </c>
      <c r="V85" s="433" t="s">
        <v>966</v>
      </c>
      <c r="W85" s="433">
        <v>2</v>
      </c>
      <c r="X85" s="433">
        <v>1</v>
      </c>
      <c r="Y85" s="436" t="s">
        <v>967</v>
      </c>
      <c r="Z85" s="433">
        <v>0</v>
      </c>
      <c r="AA85" s="433">
        <v>0</v>
      </c>
      <c r="AB85" s="436" t="s">
        <v>968</v>
      </c>
      <c r="AC85" s="433">
        <v>2</v>
      </c>
      <c r="AD85" s="433">
        <v>2</v>
      </c>
      <c r="AE85" s="502" t="s">
        <v>968</v>
      </c>
      <c r="AF85" s="433">
        <v>0</v>
      </c>
      <c r="AG85" s="503">
        <v>0</v>
      </c>
      <c r="AH85" s="504" t="s">
        <v>969</v>
      </c>
      <c r="AI85" s="433">
        <v>2</v>
      </c>
      <c r="AJ85" s="433"/>
      <c r="AK85" s="433"/>
      <c r="AL85" s="433">
        <v>0</v>
      </c>
      <c r="AM85" s="433"/>
      <c r="AN85" s="433"/>
      <c r="AO85" s="433">
        <v>2</v>
      </c>
      <c r="AP85" s="433"/>
      <c r="AQ85" s="433"/>
      <c r="AR85" s="433">
        <v>0</v>
      </c>
      <c r="AS85" s="433"/>
      <c r="AT85" s="433"/>
      <c r="AU85" s="433">
        <v>2</v>
      </c>
      <c r="AV85" s="433"/>
      <c r="AW85" s="433"/>
      <c r="AX85" s="433">
        <v>0</v>
      </c>
      <c r="AY85" s="435"/>
      <c r="AZ85" s="435"/>
      <c r="BA85" s="435">
        <f t="shared" si="3"/>
        <v>4</v>
      </c>
      <c r="BB85" s="435">
        <f t="shared" si="4"/>
        <v>4</v>
      </c>
      <c r="BC85" s="500">
        <f>+IF(BA85=0,+IF(BB85=0,"No programación, No avance",+IF(BB85&gt;0,+IF(BA85=0,BB85/P85))),BB85/BA85)</f>
        <v>1</v>
      </c>
    </row>
    <row r="86" spans="1:56" s="2" customFormat="1" ht="60.75" customHeight="1">
      <c r="A86" s="721"/>
      <c r="B86" s="753"/>
      <c r="C86" s="706"/>
      <c r="D86" s="706"/>
      <c r="E86" s="433" t="s">
        <v>971</v>
      </c>
      <c r="F86" s="433" t="s">
        <v>472</v>
      </c>
      <c r="G86" s="433">
        <v>0.05</v>
      </c>
      <c r="H86" s="433" t="s">
        <v>137</v>
      </c>
      <c r="I86" s="433" t="s">
        <v>73</v>
      </c>
      <c r="J86" s="433" t="s">
        <v>72</v>
      </c>
      <c r="K86" s="433" t="s">
        <v>127</v>
      </c>
      <c r="L86" s="433" t="s">
        <v>776</v>
      </c>
      <c r="M86" s="434">
        <v>44197</v>
      </c>
      <c r="N86" s="434">
        <v>44561</v>
      </c>
      <c r="O86" s="433">
        <f>+R86+U86+X86+AA86+AD86+AG86+AJ86+AM86+AP86+AS86+AV86+AY86</f>
        <v>0</v>
      </c>
      <c r="P86" s="433">
        <v>1</v>
      </c>
      <c r="Q86" s="433">
        <v>0</v>
      </c>
      <c r="R86" s="433">
        <v>0</v>
      </c>
      <c r="S86" s="433" t="s">
        <v>113</v>
      </c>
      <c r="T86" s="433">
        <v>0</v>
      </c>
      <c r="U86" s="433">
        <v>0</v>
      </c>
      <c r="V86" s="433" t="s">
        <v>972</v>
      </c>
      <c r="W86" s="433">
        <v>0</v>
      </c>
      <c r="X86" s="433">
        <v>0</v>
      </c>
      <c r="Y86" s="436" t="s">
        <v>973</v>
      </c>
      <c r="Z86" s="433">
        <v>0</v>
      </c>
      <c r="AA86" s="433">
        <v>0</v>
      </c>
      <c r="AB86" s="436" t="s">
        <v>974</v>
      </c>
      <c r="AC86" s="433">
        <v>0</v>
      </c>
      <c r="AD86" s="433">
        <v>0</v>
      </c>
      <c r="AE86" s="436" t="s">
        <v>975</v>
      </c>
      <c r="AF86" s="433">
        <v>0</v>
      </c>
      <c r="AG86" s="498">
        <v>0</v>
      </c>
      <c r="AH86" s="499" t="s">
        <v>976</v>
      </c>
      <c r="AI86" s="433">
        <v>0</v>
      </c>
      <c r="AJ86" s="433"/>
      <c r="AK86" s="433"/>
      <c r="AL86" s="433">
        <v>0</v>
      </c>
      <c r="AM86" s="433"/>
      <c r="AN86" s="433"/>
      <c r="AO86" s="433">
        <v>1</v>
      </c>
      <c r="AP86" s="433"/>
      <c r="AQ86" s="433"/>
      <c r="AR86" s="433">
        <v>0</v>
      </c>
      <c r="AS86" s="433"/>
      <c r="AT86" s="433"/>
      <c r="AU86" s="433">
        <v>0</v>
      </c>
      <c r="AV86" s="433"/>
      <c r="AW86" s="433"/>
      <c r="AX86" s="433">
        <v>0</v>
      </c>
      <c r="AY86" s="435"/>
      <c r="AZ86" s="435"/>
      <c r="BA86" s="435">
        <f t="shared" si="3"/>
        <v>0</v>
      </c>
      <c r="BB86" s="435">
        <f t="shared" si="4"/>
        <v>0</v>
      </c>
      <c r="BC86" s="500" t="str">
        <f>+IF(BA86=0,+IF(BB86=0,"No programación, No avance",+IF(BB86&gt;0,+IF(BA86=0,BB86/P86))),BB86/BA86)</f>
        <v>No programación, No avance</v>
      </c>
    </row>
    <row r="87" spans="1:56" s="2" customFormat="1" ht="60.75" customHeight="1">
      <c r="A87" s="721"/>
      <c r="B87" s="753"/>
      <c r="C87" s="706"/>
      <c r="D87" s="706"/>
      <c r="E87" s="433" t="s">
        <v>978</v>
      </c>
      <c r="F87" s="433" t="s">
        <v>472</v>
      </c>
      <c r="G87" s="433">
        <v>0.05</v>
      </c>
      <c r="H87" s="433" t="s">
        <v>137</v>
      </c>
      <c r="I87" s="433" t="s">
        <v>73</v>
      </c>
      <c r="J87" s="433" t="s">
        <v>72</v>
      </c>
      <c r="K87" s="433" t="s">
        <v>127</v>
      </c>
      <c r="L87" s="433" t="s">
        <v>776</v>
      </c>
      <c r="M87" s="434">
        <v>44197</v>
      </c>
      <c r="N87" s="434">
        <v>44561</v>
      </c>
      <c r="O87" s="433">
        <f>+R87+U87+X87+AA87+AD87+AG87+AJ87+AM87+AP87+AS87+AV87+AY87</f>
        <v>0</v>
      </c>
      <c r="P87" s="433">
        <v>1</v>
      </c>
      <c r="Q87" s="433">
        <v>0</v>
      </c>
      <c r="R87" s="433">
        <v>0</v>
      </c>
      <c r="S87" s="433" t="s">
        <v>113</v>
      </c>
      <c r="T87" s="433">
        <v>0</v>
      </c>
      <c r="U87" s="433">
        <v>0</v>
      </c>
      <c r="V87" s="433" t="s">
        <v>979</v>
      </c>
      <c r="W87" s="433">
        <v>0</v>
      </c>
      <c r="X87" s="433">
        <v>0</v>
      </c>
      <c r="Y87" s="436" t="s">
        <v>980</v>
      </c>
      <c r="Z87" s="433">
        <v>0</v>
      </c>
      <c r="AA87" s="433">
        <v>0</v>
      </c>
      <c r="AB87" s="436" t="s">
        <v>981</v>
      </c>
      <c r="AC87" s="433">
        <v>0</v>
      </c>
      <c r="AD87" s="433">
        <v>0</v>
      </c>
      <c r="AE87" s="436" t="s">
        <v>982</v>
      </c>
      <c r="AF87" s="433">
        <v>0</v>
      </c>
      <c r="AG87" s="498">
        <v>0</v>
      </c>
      <c r="AH87" s="499" t="s">
        <v>983</v>
      </c>
      <c r="AI87" s="433">
        <v>0</v>
      </c>
      <c r="AJ87" s="433"/>
      <c r="AK87" s="433"/>
      <c r="AL87" s="433">
        <v>0</v>
      </c>
      <c r="AM87" s="433"/>
      <c r="AN87" s="433"/>
      <c r="AO87" s="433">
        <v>1</v>
      </c>
      <c r="AP87" s="433"/>
      <c r="AQ87" s="433"/>
      <c r="AR87" s="433">
        <v>0</v>
      </c>
      <c r="AS87" s="433"/>
      <c r="AT87" s="433"/>
      <c r="AU87" s="433">
        <v>0</v>
      </c>
      <c r="AV87" s="433"/>
      <c r="AW87" s="433"/>
      <c r="AX87" s="433">
        <v>0</v>
      </c>
      <c r="AY87" s="435"/>
      <c r="AZ87" s="435"/>
      <c r="BA87" s="435">
        <f t="shared" si="3"/>
        <v>0</v>
      </c>
      <c r="BB87" s="435">
        <f t="shared" si="4"/>
        <v>0</v>
      </c>
      <c r="BC87" s="500" t="str">
        <f>+IF(BA87=0,+IF(BB87=0,"No programación, No avance",+IF(BB87&gt;0,+IF(BA87=0,BB87/P87))),BB87/BA87)</f>
        <v>No programación, No avance</v>
      </c>
    </row>
    <row r="88" spans="1:56" s="2" customFormat="1" ht="60.75" customHeight="1">
      <c r="A88" s="721"/>
      <c r="B88" s="753"/>
      <c r="C88" s="706"/>
      <c r="D88" s="706"/>
      <c r="E88" s="433" t="s">
        <v>985</v>
      </c>
      <c r="F88" s="433" t="s">
        <v>472</v>
      </c>
      <c r="G88" s="433">
        <v>0.15</v>
      </c>
      <c r="H88" s="433" t="s">
        <v>137</v>
      </c>
      <c r="I88" s="433" t="s">
        <v>73</v>
      </c>
      <c r="J88" s="433" t="s">
        <v>902</v>
      </c>
      <c r="K88" s="433" t="s">
        <v>960</v>
      </c>
      <c r="L88" s="433" t="s">
        <v>776</v>
      </c>
      <c r="M88" s="434">
        <v>44197</v>
      </c>
      <c r="N88" s="434">
        <v>44561</v>
      </c>
      <c r="O88" s="433">
        <f>+R88+U88+X88+AA88+AD88+AG88+AJ88+AM88+AP88+AS88+AV88+AY88</f>
        <v>0</v>
      </c>
      <c r="P88" s="433">
        <v>1000</v>
      </c>
      <c r="Q88" s="433">
        <v>0</v>
      </c>
      <c r="R88" s="433">
        <v>0</v>
      </c>
      <c r="S88" s="433" t="s">
        <v>113</v>
      </c>
      <c r="T88" s="433">
        <v>0</v>
      </c>
      <c r="U88" s="433">
        <v>0</v>
      </c>
      <c r="V88" s="433" t="s">
        <v>986</v>
      </c>
      <c r="W88" s="433">
        <v>0</v>
      </c>
      <c r="X88" s="433">
        <v>0</v>
      </c>
      <c r="Y88" s="436" t="s">
        <v>987</v>
      </c>
      <c r="Z88" s="433">
        <v>0</v>
      </c>
      <c r="AA88" s="433">
        <v>0</v>
      </c>
      <c r="AB88" s="436" t="s">
        <v>988</v>
      </c>
      <c r="AC88" s="433">
        <v>0</v>
      </c>
      <c r="AD88" s="501">
        <v>0</v>
      </c>
      <c r="AE88" s="502" t="s">
        <v>989</v>
      </c>
      <c r="AF88" s="433">
        <v>0</v>
      </c>
      <c r="AG88" s="503">
        <v>0</v>
      </c>
      <c r="AH88" s="504" t="s">
        <v>990</v>
      </c>
      <c r="AI88" s="433">
        <v>100</v>
      </c>
      <c r="AJ88" s="433"/>
      <c r="AK88" s="433"/>
      <c r="AL88" s="433">
        <v>150</v>
      </c>
      <c r="AM88" s="433"/>
      <c r="AN88" s="433"/>
      <c r="AO88" s="433">
        <v>200</v>
      </c>
      <c r="AP88" s="433"/>
      <c r="AQ88" s="433"/>
      <c r="AR88" s="433">
        <v>200</v>
      </c>
      <c r="AS88" s="433"/>
      <c r="AT88" s="433"/>
      <c r="AU88" s="433">
        <v>150</v>
      </c>
      <c r="AV88" s="433"/>
      <c r="AW88" s="433"/>
      <c r="AX88" s="433">
        <v>200</v>
      </c>
      <c r="AY88" s="435"/>
      <c r="AZ88" s="435"/>
      <c r="BA88" s="435">
        <f t="shared" si="3"/>
        <v>0</v>
      </c>
      <c r="BB88" s="435">
        <f t="shared" si="4"/>
        <v>0</v>
      </c>
      <c r="BC88" s="500" t="str">
        <f>+IF(BA88=0,+IF(BB88=0,"No programación, No avance",+IF(BB88&gt;0,+IF(BA88=0,BB88/P88))),BB88/BA88)</f>
        <v>No programación, No avance</v>
      </c>
    </row>
    <row r="89" spans="1:56" s="2" customFormat="1" ht="60.75" customHeight="1">
      <c r="A89" s="721"/>
      <c r="B89" s="753"/>
      <c r="C89" s="706"/>
      <c r="D89" s="706"/>
      <c r="E89" s="433" t="s">
        <v>992</v>
      </c>
      <c r="F89" s="433" t="s">
        <v>472</v>
      </c>
      <c r="G89" s="433">
        <v>0.05</v>
      </c>
      <c r="H89" s="433" t="s">
        <v>137</v>
      </c>
      <c r="I89" s="433" t="s">
        <v>73</v>
      </c>
      <c r="J89" s="433" t="s">
        <v>72</v>
      </c>
      <c r="K89" s="433" t="s">
        <v>127</v>
      </c>
      <c r="L89" s="433" t="s">
        <v>776</v>
      </c>
      <c r="M89" s="434">
        <v>44197</v>
      </c>
      <c r="N89" s="434">
        <v>44561</v>
      </c>
      <c r="O89" s="433">
        <f>+R89+U89+X89+AA89+AD89+AG89+AJ89+AM89+AP89+AS89+AV89+AY89</f>
        <v>3</v>
      </c>
      <c r="P89" s="433">
        <v>5</v>
      </c>
      <c r="Q89" s="433">
        <v>0</v>
      </c>
      <c r="R89" s="433">
        <v>0</v>
      </c>
      <c r="S89" s="433" t="s">
        <v>113</v>
      </c>
      <c r="T89" s="433">
        <v>0</v>
      </c>
      <c r="U89" s="433">
        <v>0</v>
      </c>
      <c r="V89" s="433" t="s">
        <v>986</v>
      </c>
      <c r="W89" s="433">
        <v>0</v>
      </c>
      <c r="X89" s="433">
        <v>0</v>
      </c>
      <c r="Y89" s="436" t="s">
        <v>993</v>
      </c>
      <c r="Z89" s="433">
        <v>0</v>
      </c>
      <c r="AA89" s="433">
        <v>0</v>
      </c>
      <c r="AB89" s="436" t="s">
        <v>994</v>
      </c>
      <c r="AC89" s="433">
        <v>2</v>
      </c>
      <c r="AD89" s="501">
        <v>0</v>
      </c>
      <c r="AE89" s="502" t="s">
        <v>995</v>
      </c>
      <c r="AF89" s="433">
        <v>3</v>
      </c>
      <c r="AG89" s="503">
        <v>3</v>
      </c>
      <c r="AH89" s="504" t="s">
        <v>996</v>
      </c>
      <c r="AI89" s="433">
        <v>0</v>
      </c>
      <c r="AJ89" s="433"/>
      <c r="AK89" s="433"/>
      <c r="AL89" s="433">
        <v>0</v>
      </c>
      <c r="AM89" s="433"/>
      <c r="AN89" s="433"/>
      <c r="AO89" s="433">
        <v>0</v>
      </c>
      <c r="AP89" s="433"/>
      <c r="AQ89" s="433"/>
      <c r="AR89" s="433">
        <v>0</v>
      </c>
      <c r="AS89" s="433"/>
      <c r="AT89" s="433"/>
      <c r="AU89" s="433">
        <v>0</v>
      </c>
      <c r="AV89" s="433"/>
      <c r="AW89" s="433"/>
      <c r="AX89" s="433">
        <v>0</v>
      </c>
      <c r="AY89" s="435"/>
      <c r="AZ89" s="435"/>
      <c r="BA89" s="435">
        <f t="shared" si="3"/>
        <v>5</v>
      </c>
      <c r="BB89" s="435">
        <f t="shared" si="4"/>
        <v>3</v>
      </c>
      <c r="BC89" s="500">
        <f>+IF(BA89=0,+IF(BB89=0,"No programación, No avance",+IF(BB89&gt;0,+IF(BA89=0,BB89/P89))),BB89/BA89)</f>
        <v>0.6</v>
      </c>
    </row>
    <row r="90" spans="1:56" s="2" customFormat="1" ht="60.75" customHeight="1">
      <c r="A90" s="721"/>
      <c r="B90" s="753"/>
      <c r="C90" s="706"/>
      <c r="D90" s="706"/>
      <c r="E90" s="433" t="s">
        <v>998</v>
      </c>
      <c r="F90" s="433" t="s">
        <v>472</v>
      </c>
      <c r="G90" s="433">
        <v>0.05</v>
      </c>
      <c r="H90" s="433" t="s">
        <v>137</v>
      </c>
      <c r="I90" s="433" t="s">
        <v>73</v>
      </c>
      <c r="J90" s="433" t="s">
        <v>72</v>
      </c>
      <c r="K90" s="433" t="s">
        <v>127</v>
      </c>
      <c r="L90" s="433" t="s">
        <v>776</v>
      </c>
      <c r="M90" s="434">
        <v>44197</v>
      </c>
      <c r="N90" s="434">
        <v>44561</v>
      </c>
      <c r="O90" s="433">
        <f>+R90+U90+X90+AA90+AD90+AG90+AJ90+AM90+AP90+AS90+AV90+AY90</f>
        <v>0</v>
      </c>
      <c r="P90" s="433">
        <v>15</v>
      </c>
      <c r="Q90" s="433">
        <v>0</v>
      </c>
      <c r="R90" s="433">
        <v>0</v>
      </c>
      <c r="S90" s="433" t="s">
        <v>113</v>
      </c>
      <c r="T90" s="433">
        <v>0</v>
      </c>
      <c r="U90" s="433">
        <v>0</v>
      </c>
      <c r="V90" s="433" t="s">
        <v>999</v>
      </c>
      <c r="W90" s="433">
        <v>0</v>
      </c>
      <c r="X90" s="433">
        <v>0</v>
      </c>
      <c r="Y90" s="436" t="s">
        <v>1000</v>
      </c>
      <c r="Z90" s="433">
        <v>0</v>
      </c>
      <c r="AA90" s="433">
        <v>0</v>
      </c>
      <c r="AB90" s="436" t="s">
        <v>1001</v>
      </c>
      <c r="AC90" s="433">
        <v>0</v>
      </c>
      <c r="AD90" s="501">
        <v>0</v>
      </c>
      <c r="AE90" s="502" t="s">
        <v>1002</v>
      </c>
      <c r="AF90" s="433">
        <v>0</v>
      </c>
      <c r="AG90" s="503">
        <v>0</v>
      </c>
      <c r="AH90" s="504" t="s">
        <v>1001</v>
      </c>
      <c r="AI90" s="433">
        <v>0</v>
      </c>
      <c r="AJ90" s="433"/>
      <c r="AK90" s="433"/>
      <c r="AL90" s="433">
        <v>5</v>
      </c>
      <c r="AM90" s="433"/>
      <c r="AN90" s="433"/>
      <c r="AO90" s="433">
        <v>0</v>
      </c>
      <c r="AP90" s="433"/>
      <c r="AQ90" s="433"/>
      <c r="AR90" s="433">
        <v>5</v>
      </c>
      <c r="AS90" s="433"/>
      <c r="AT90" s="433"/>
      <c r="AU90" s="433">
        <v>0</v>
      </c>
      <c r="AV90" s="433"/>
      <c r="AW90" s="433"/>
      <c r="AX90" s="433">
        <v>5</v>
      </c>
      <c r="AY90" s="435"/>
      <c r="AZ90" s="435"/>
      <c r="BA90" s="435">
        <f t="shared" si="3"/>
        <v>0</v>
      </c>
      <c r="BB90" s="435">
        <f t="shared" si="4"/>
        <v>0</v>
      </c>
      <c r="BC90" s="500" t="str">
        <f>+IF(BA90=0,+IF(BB90=0,"No programación, No avance",+IF(BB90&gt;0,+IF(BA90=0,BB90/P90))),BB90/BA90)</f>
        <v>No programación, No avance</v>
      </c>
      <c r="BD90" s="47"/>
    </row>
    <row r="91" spans="1:56" s="2" customFormat="1" ht="60.75" customHeight="1">
      <c r="A91" s="721"/>
      <c r="B91" s="753"/>
      <c r="C91" s="706"/>
      <c r="D91" s="706"/>
      <c r="E91" s="433" t="s">
        <v>1004</v>
      </c>
      <c r="F91" s="433" t="s">
        <v>472</v>
      </c>
      <c r="G91" s="433">
        <v>0.05</v>
      </c>
      <c r="H91" s="433" t="s">
        <v>137</v>
      </c>
      <c r="I91" s="433" t="s">
        <v>73</v>
      </c>
      <c r="J91" s="433" t="s">
        <v>72</v>
      </c>
      <c r="K91" s="433" t="s">
        <v>127</v>
      </c>
      <c r="L91" s="433" t="s">
        <v>776</v>
      </c>
      <c r="M91" s="434">
        <v>44197</v>
      </c>
      <c r="N91" s="434">
        <v>44561</v>
      </c>
      <c r="O91" s="433">
        <f>+R91+U91+X91+AA91+AD91+AG91+AJ91+AM91+AP91+AS91+AV91+AY91</f>
        <v>0</v>
      </c>
      <c r="P91" s="433">
        <v>6</v>
      </c>
      <c r="Q91" s="433">
        <v>0</v>
      </c>
      <c r="R91" s="433">
        <v>0</v>
      </c>
      <c r="S91" s="433" t="s">
        <v>113</v>
      </c>
      <c r="T91" s="433">
        <v>0</v>
      </c>
      <c r="U91" s="433">
        <v>0</v>
      </c>
      <c r="V91" s="433" t="s">
        <v>999</v>
      </c>
      <c r="W91" s="433">
        <v>0</v>
      </c>
      <c r="X91" s="433">
        <v>0</v>
      </c>
      <c r="Y91" s="436" t="s">
        <v>1000</v>
      </c>
      <c r="Z91" s="433">
        <v>0</v>
      </c>
      <c r="AA91" s="433">
        <v>0</v>
      </c>
      <c r="AB91" s="436" t="s">
        <v>1001</v>
      </c>
      <c r="AC91" s="433">
        <v>0</v>
      </c>
      <c r="AD91" s="501">
        <v>0</v>
      </c>
      <c r="AE91" s="502" t="s">
        <v>1002</v>
      </c>
      <c r="AF91" s="433">
        <v>0</v>
      </c>
      <c r="AG91" s="503">
        <v>0</v>
      </c>
      <c r="AH91" s="504" t="s">
        <v>1001</v>
      </c>
      <c r="AI91" s="433">
        <v>1</v>
      </c>
      <c r="AJ91" s="433"/>
      <c r="AK91" s="433"/>
      <c r="AL91" s="433">
        <v>1</v>
      </c>
      <c r="AM91" s="433"/>
      <c r="AN91" s="433"/>
      <c r="AO91" s="433">
        <v>1</v>
      </c>
      <c r="AP91" s="433"/>
      <c r="AQ91" s="433"/>
      <c r="AR91" s="433">
        <v>1</v>
      </c>
      <c r="AS91" s="433"/>
      <c r="AT91" s="433"/>
      <c r="AU91" s="433">
        <v>1</v>
      </c>
      <c r="AV91" s="433"/>
      <c r="AW91" s="433"/>
      <c r="AX91" s="433">
        <v>1</v>
      </c>
      <c r="AY91" s="435"/>
      <c r="AZ91" s="435"/>
      <c r="BA91" s="435">
        <f t="shared" si="3"/>
        <v>0</v>
      </c>
      <c r="BB91" s="435">
        <f t="shared" si="4"/>
        <v>0</v>
      </c>
      <c r="BC91" s="500" t="str">
        <f>+IF(BA91=0,+IF(BB91=0,"No programación, No avance",+IF(BB91&gt;0,+IF(BA91=0,BB91/P91))),BB91/BA91)</f>
        <v>No programación, No avance</v>
      </c>
      <c r="BD91" s="47"/>
    </row>
    <row r="92" spans="1:56" s="2" customFormat="1" ht="60.75" customHeight="1">
      <c r="A92" s="721"/>
      <c r="B92" s="753"/>
      <c r="C92" s="706"/>
      <c r="D92" s="706"/>
      <c r="E92" s="433" t="s">
        <v>1006</v>
      </c>
      <c r="F92" s="433" t="s">
        <v>472</v>
      </c>
      <c r="G92" s="433">
        <v>0.05</v>
      </c>
      <c r="H92" s="433" t="s">
        <v>137</v>
      </c>
      <c r="I92" s="433" t="s">
        <v>73</v>
      </c>
      <c r="J92" s="433" t="s">
        <v>72</v>
      </c>
      <c r="K92" s="433" t="s">
        <v>127</v>
      </c>
      <c r="L92" s="433" t="s">
        <v>776</v>
      </c>
      <c r="M92" s="434">
        <v>44197</v>
      </c>
      <c r="N92" s="434">
        <v>44561</v>
      </c>
      <c r="O92" s="433">
        <f>+R92+U92+X92+AA92+AD92+AG92+AJ92+AM92+AP92+AS92+AV92+AY92</f>
        <v>0</v>
      </c>
      <c r="P92" s="433">
        <v>10</v>
      </c>
      <c r="Q92" s="433">
        <v>0</v>
      </c>
      <c r="R92" s="433">
        <v>0</v>
      </c>
      <c r="S92" s="433" t="s">
        <v>113</v>
      </c>
      <c r="T92" s="433">
        <v>2</v>
      </c>
      <c r="U92" s="433">
        <v>0</v>
      </c>
      <c r="V92" s="433" t="s">
        <v>1007</v>
      </c>
      <c r="W92" s="433">
        <v>2</v>
      </c>
      <c r="X92" s="433">
        <v>0</v>
      </c>
      <c r="Y92" s="436" t="s">
        <v>1008</v>
      </c>
      <c r="Z92" s="433">
        <v>2</v>
      </c>
      <c r="AA92" s="433">
        <v>0</v>
      </c>
      <c r="AB92" s="436" t="s">
        <v>1009</v>
      </c>
      <c r="AC92" s="433">
        <v>2</v>
      </c>
      <c r="AD92" s="433">
        <v>0</v>
      </c>
      <c r="AE92" s="436" t="s">
        <v>1010</v>
      </c>
      <c r="AF92" s="433">
        <v>2</v>
      </c>
      <c r="AG92" s="498">
        <v>0</v>
      </c>
      <c r="AH92" s="499" t="s">
        <v>1011</v>
      </c>
      <c r="AI92" s="433">
        <v>0</v>
      </c>
      <c r="AJ92" s="433"/>
      <c r="AK92" s="433"/>
      <c r="AL92" s="433">
        <v>0</v>
      </c>
      <c r="AM92" s="433"/>
      <c r="AN92" s="433"/>
      <c r="AO92" s="433">
        <v>0</v>
      </c>
      <c r="AP92" s="433"/>
      <c r="AQ92" s="433"/>
      <c r="AR92" s="433">
        <v>0</v>
      </c>
      <c r="AS92" s="433"/>
      <c r="AT92" s="433"/>
      <c r="AU92" s="433">
        <v>0</v>
      </c>
      <c r="AV92" s="433"/>
      <c r="AW92" s="433"/>
      <c r="AX92" s="433">
        <v>0</v>
      </c>
      <c r="AY92" s="435"/>
      <c r="AZ92" s="435"/>
      <c r="BA92" s="435">
        <f t="shared" si="3"/>
        <v>10</v>
      </c>
      <c r="BB92" s="435">
        <f t="shared" si="4"/>
        <v>0</v>
      </c>
      <c r="BC92" s="500">
        <f>+IF(BA92=0,+IF(BB92=0,"No programación, No avance",+IF(BB92&gt;0,+IF(BA92=0,BB92/P92))),BB92/BA92)</f>
        <v>0</v>
      </c>
    </row>
    <row r="93" spans="1:56" s="2" customFormat="1" ht="60.75" customHeight="1">
      <c r="A93" s="721"/>
      <c r="B93" s="753"/>
      <c r="C93" s="706"/>
      <c r="D93" s="706"/>
      <c r="E93" s="433" t="s">
        <v>1013</v>
      </c>
      <c r="F93" s="433" t="s">
        <v>531</v>
      </c>
      <c r="G93" s="433">
        <v>0.15</v>
      </c>
      <c r="H93" s="433" t="s">
        <v>137</v>
      </c>
      <c r="I93" s="433" t="s">
        <v>73</v>
      </c>
      <c r="J93" s="433" t="s">
        <v>72</v>
      </c>
      <c r="K93" s="433" t="s">
        <v>960</v>
      </c>
      <c r="L93" s="433" t="s">
        <v>790</v>
      </c>
      <c r="M93" s="434">
        <v>44197</v>
      </c>
      <c r="N93" s="434">
        <v>44561</v>
      </c>
      <c r="O93" s="433">
        <f>+R93+U93+X93+AA93+AD93+AG93+AJ93+AM93+AP93+AS93+AV93+AY93</f>
        <v>454</v>
      </c>
      <c r="P93" s="433">
        <v>5000</v>
      </c>
      <c r="Q93" s="433">
        <v>0</v>
      </c>
      <c r="R93" s="433">
        <v>0</v>
      </c>
      <c r="S93" s="433" t="s">
        <v>113</v>
      </c>
      <c r="T93" s="433">
        <v>0</v>
      </c>
      <c r="U93" s="433">
        <v>0</v>
      </c>
      <c r="V93" s="433" t="s">
        <v>979</v>
      </c>
      <c r="W93" s="433">
        <v>0</v>
      </c>
      <c r="X93" s="433">
        <v>82</v>
      </c>
      <c r="Y93" s="436" t="s">
        <v>1014</v>
      </c>
      <c r="Z93" s="433">
        <v>1000</v>
      </c>
      <c r="AA93" s="433">
        <v>225</v>
      </c>
      <c r="AB93" s="436" t="s">
        <v>1015</v>
      </c>
      <c r="AC93" s="433">
        <v>0</v>
      </c>
      <c r="AD93" s="433">
        <v>12</v>
      </c>
      <c r="AE93" s="436" t="s">
        <v>1016</v>
      </c>
      <c r="AF93" s="433">
        <v>1000</v>
      </c>
      <c r="AG93" s="498">
        <v>135</v>
      </c>
      <c r="AH93" s="499" t="s">
        <v>1017</v>
      </c>
      <c r="AI93" s="433">
        <v>0</v>
      </c>
      <c r="AJ93" s="433"/>
      <c r="AK93" s="433"/>
      <c r="AL93" s="433">
        <v>1000</v>
      </c>
      <c r="AM93" s="433"/>
      <c r="AN93" s="433"/>
      <c r="AO93" s="433">
        <v>0</v>
      </c>
      <c r="AP93" s="433"/>
      <c r="AQ93" s="433"/>
      <c r="AR93" s="433">
        <v>1000</v>
      </c>
      <c r="AS93" s="433"/>
      <c r="AT93" s="433"/>
      <c r="AU93" s="433">
        <v>0</v>
      </c>
      <c r="AV93" s="433"/>
      <c r="AW93" s="433"/>
      <c r="AX93" s="433">
        <v>1000</v>
      </c>
      <c r="AY93" s="435"/>
      <c r="AZ93" s="435"/>
      <c r="BA93" s="435">
        <f t="shared" si="3"/>
        <v>2000</v>
      </c>
      <c r="BB93" s="435">
        <f t="shared" si="4"/>
        <v>454</v>
      </c>
      <c r="BC93" s="500">
        <f>+IF(BA93=0,+IF(BB93=0,"No programación, No avance",+IF(BB93&gt;0,+IF(BA93=0,BB93/P93))),BB93/BA93)</f>
        <v>0.22700000000000001</v>
      </c>
    </row>
    <row r="94" spans="1:56" s="2" customFormat="1" ht="60.75" customHeight="1">
      <c r="A94" s="721"/>
      <c r="B94" s="753"/>
      <c r="C94" s="706"/>
      <c r="D94" s="706"/>
      <c r="E94" s="433" t="s">
        <v>1019</v>
      </c>
      <c r="F94" s="433" t="s">
        <v>472</v>
      </c>
      <c r="G94" s="433">
        <v>0.05</v>
      </c>
      <c r="H94" s="433" t="s">
        <v>137</v>
      </c>
      <c r="I94" s="433" t="s">
        <v>73</v>
      </c>
      <c r="J94" s="433" t="s">
        <v>72</v>
      </c>
      <c r="K94" s="433" t="s">
        <v>775</v>
      </c>
      <c r="L94" s="433" t="s">
        <v>776</v>
      </c>
      <c r="M94" s="434">
        <v>44197</v>
      </c>
      <c r="N94" s="434">
        <v>44561</v>
      </c>
      <c r="O94" s="433">
        <f>+R94+U94+X94+AA94+AD94+AG94+AJ94+AM94+AP94+AS94+AV94+AY94</f>
        <v>31</v>
      </c>
      <c r="P94" s="433">
        <v>10</v>
      </c>
      <c r="Q94" s="433">
        <v>0</v>
      </c>
      <c r="R94" s="433">
        <v>0</v>
      </c>
      <c r="S94" s="433" t="s">
        <v>113</v>
      </c>
      <c r="T94" s="433">
        <v>0</v>
      </c>
      <c r="U94" s="433">
        <v>28</v>
      </c>
      <c r="V94" s="433" t="s">
        <v>1020</v>
      </c>
      <c r="W94" s="433">
        <v>1</v>
      </c>
      <c r="X94" s="433">
        <v>1</v>
      </c>
      <c r="Y94" s="436" t="s">
        <v>1021</v>
      </c>
      <c r="Z94" s="433">
        <v>1</v>
      </c>
      <c r="AA94" s="433">
        <v>1</v>
      </c>
      <c r="AB94" s="436" t="s">
        <v>1022</v>
      </c>
      <c r="AC94" s="433">
        <v>1</v>
      </c>
      <c r="AD94" s="433">
        <v>1</v>
      </c>
      <c r="AE94" s="502" t="s">
        <v>1023</v>
      </c>
      <c r="AF94" s="433">
        <v>1</v>
      </c>
      <c r="AG94" s="503">
        <v>0</v>
      </c>
      <c r="AH94" s="504" t="s">
        <v>1024</v>
      </c>
      <c r="AI94" s="433">
        <v>1</v>
      </c>
      <c r="AJ94" s="433"/>
      <c r="AK94" s="433"/>
      <c r="AL94" s="433">
        <v>1</v>
      </c>
      <c r="AM94" s="433"/>
      <c r="AN94" s="433"/>
      <c r="AO94" s="433">
        <v>1</v>
      </c>
      <c r="AP94" s="433"/>
      <c r="AQ94" s="433"/>
      <c r="AR94" s="433">
        <v>1</v>
      </c>
      <c r="AS94" s="433"/>
      <c r="AT94" s="433"/>
      <c r="AU94" s="433">
        <v>1</v>
      </c>
      <c r="AV94" s="433"/>
      <c r="AW94" s="433"/>
      <c r="AX94" s="433">
        <v>1</v>
      </c>
      <c r="AY94" s="435"/>
      <c r="AZ94" s="435"/>
      <c r="BA94" s="435">
        <f t="shared" si="3"/>
        <v>4</v>
      </c>
      <c r="BB94" s="435">
        <f t="shared" si="4"/>
        <v>31</v>
      </c>
      <c r="BC94" s="500">
        <f>+IF(BA94=0,+IF(BB94=0,"No programación, No avance",+IF(BB94&gt;0,+IF(BA94=0,BB94/P94))),BB94/BA94)</f>
        <v>7.75</v>
      </c>
    </row>
    <row r="95" spans="1:56" s="2" customFormat="1" ht="60.75" customHeight="1">
      <c r="A95" s="721"/>
      <c r="B95" s="753"/>
      <c r="C95" s="706"/>
      <c r="D95" s="706"/>
      <c r="E95" s="433" t="s">
        <v>1026</v>
      </c>
      <c r="F95" s="433" t="s">
        <v>472</v>
      </c>
      <c r="G95" s="433">
        <v>0.05</v>
      </c>
      <c r="H95" s="433" t="s">
        <v>137</v>
      </c>
      <c r="I95" s="433" t="s">
        <v>73</v>
      </c>
      <c r="J95" s="433" t="s">
        <v>72</v>
      </c>
      <c r="K95" s="433" t="s">
        <v>1027</v>
      </c>
      <c r="L95" s="433" t="s">
        <v>776</v>
      </c>
      <c r="M95" s="434">
        <v>44197</v>
      </c>
      <c r="N95" s="434">
        <v>44561</v>
      </c>
      <c r="O95" s="433">
        <f>+R95+U95+X95+AA95+AD95+AG95+AJ95+AM95+AP95+AS95+AV95+AY95</f>
        <v>15</v>
      </c>
      <c r="P95" s="433">
        <v>200</v>
      </c>
      <c r="Q95" s="433">
        <v>0</v>
      </c>
      <c r="R95" s="433">
        <v>0</v>
      </c>
      <c r="S95" s="433" t="s">
        <v>113</v>
      </c>
      <c r="T95" s="433">
        <v>0</v>
      </c>
      <c r="U95" s="433">
        <v>0</v>
      </c>
      <c r="V95" s="433" t="s">
        <v>979</v>
      </c>
      <c r="W95" s="433">
        <v>50</v>
      </c>
      <c r="X95" s="433">
        <v>2</v>
      </c>
      <c r="Y95" s="436" t="s">
        <v>1028</v>
      </c>
      <c r="Z95" s="433">
        <v>0</v>
      </c>
      <c r="AA95" s="433">
        <v>0</v>
      </c>
      <c r="AB95" s="436" t="s">
        <v>1029</v>
      </c>
      <c r="AC95" s="433">
        <v>0</v>
      </c>
      <c r="AD95" s="433">
        <v>13</v>
      </c>
      <c r="AE95" s="436" t="s">
        <v>1030</v>
      </c>
      <c r="AF95" s="433">
        <v>0</v>
      </c>
      <c r="AG95" s="498">
        <v>0</v>
      </c>
      <c r="AH95" s="499" t="s">
        <v>1031</v>
      </c>
      <c r="AI95" s="433">
        <v>0</v>
      </c>
      <c r="AJ95" s="433"/>
      <c r="AK95" s="433"/>
      <c r="AL95" s="433">
        <v>70</v>
      </c>
      <c r="AM95" s="433"/>
      <c r="AN95" s="433"/>
      <c r="AO95" s="433">
        <v>0</v>
      </c>
      <c r="AP95" s="433"/>
      <c r="AQ95" s="433"/>
      <c r="AR95" s="433">
        <v>0</v>
      </c>
      <c r="AS95" s="433"/>
      <c r="AT95" s="433"/>
      <c r="AU95" s="433">
        <v>0</v>
      </c>
      <c r="AV95" s="433"/>
      <c r="AW95" s="433"/>
      <c r="AX95" s="433">
        <v>80</v>
      </c>
      <c r="AY95" s="435"/>
      <c r="AZ95" s="435"/>
      <c r="BA95" s="435">
        <f t="shared" si="3"/>
        <v>50</v>
      </c>
      <c r="BB95" s="435">
        <f t="shared" si="4"/>
        <v>15</v>
      </c>
      <c r="BC95" s="500">
        <f>+IF(BA95=0,+IF(BB95=0,"No programación, No avance",+IF(BB95&gt;0,+IF(BA95=0,BB95/P95))),BB95/BA95)</f>
        <v>0.3</v>
      </c>
    </row>
    <row r="96" spans="1:56" s="2" customFormat="1" ht="60.75" customHeight="1">
      <c r="A96" s="721"/>
      <c r="B96" s="753"/>
      <c r="C96" s="706"/>
      <c r="D96" s="706"/>
      <c r="E96" s="433" t="s">
        <v>1033</v>
      </c>
      <c r="F96" s="433" t="s">
        <v>472</v>
      </c>
      <c r="G96" s="433">
        <v>0.1</v>
      </c>
      <c r="H96" s="433" t="s">
        <v>137</v>
      </c>
      <c r="I96" s="433" t="s">
        <v>73</v>
      </c>
      <c r="J96" s="433" t="s">
        <v>1034</v>
      </c>
      <c r="K96" s="433" t="s">
        <v>775</v>
      </c>
      <c r="L96" s="433" t="s">
        <v>776</v>
      </c>
      <c r="M96" s="434">
        <v>44197</v>
      </c>
      <c r="N96" s="434">
        <v>44561</v>
      </c>
      <c r="O96" s="433">
        <f>+R96+U96+X96+AA96+AD96+AG96+AJ96+AM96+AP96+AS96+AV96+AY96</f>
        <v>0</v>
      </c>
      <c r="P96" s="433">
        <v>1</v>
      </c>
      <c r="Q96" s="433">
        <v>0</v>
      </c>
      <c r="R96" s="433">
        <v>0</v>
      </c>
      <c r="S96" s="433" t="s">
        <v>113</v>
      </c>
      <c r="T96" s="433">
        <v>0</v>
      </c>
      <c r="U96" s="433">
        <v>0</v>
      </c>
      <c r="V96" s="433" t="s">
        <v>1035</v>
      </c>
      <c r="W96" s="433">
        <v>0</v>
      </c>
      <c r="X96" s="433">
        <v>0</v>
      </c>
      <c r="Y96" s="436" t="s">
        <v>1036</v>
      </c>
      <c r="Z96" s="433">
        <v>0</v>
      </c>
      <c r="AA96" s="433">
        <v>0</v>
      </c>
      <c r="AB96" s="436" t="s">
        <v>1036</v>
      </c>
      <c r="AC96" s="433">
        <v>0</v>
      </c>
      <c r="AD96" s="433">
        <v>0</v>
      </c>
      <c r="AE96" s="436" t="s">
        <v>1037</v>
      </c>
      <c r="AF96" s="433">
        <v>0</v>
      </c>
      <c r="AG96" s="498">
        <v>0</v>
      </c>
      <c r="AH96" s="499" t="s">
        <v>1038</v>
      </c>
      <c r="AI96" s="433">
        <v>0</v>
      </c>
      <c r="AJ96" s="433"/>
      <c r="AK96" s="433"/>
      <c r="AL96" s="433">
        <v>0</v>
      </c>
      <c r="AM96" s="433"/>
      <c r="AN96" s="433"/>
      <c r="AO96" s="433">
        <v>0</v>
      </c>
      <c r="AP96" s="433"/>
      <c r="AQ96" s="433"/>
      <c r="AR96" s="433">
        <v>0</v>
      </c>
      <c r="AS96" s="433"/>
      <c r="AT96" s="433"/>
      <c r="AU96" s="433">
        <v>1</v>
      </c>
      <c r="AV96" s="433"/>
      <c r="AW96" s="433"/>
      <c r="AX96" s="433">
        <v>0</v>
      </c>
      <c r="AY96" s="435"/>
      <c r="AZ96" s="435"/>
      <c r="BA96" s="435">
        <f t="shared" si="3"/>
        <v>0</v>
      </c>
      <c r="BB96" s="435">
        <f t="shared" si="4"/>
        <v>0</v>
      </c>
      <c r="BC96" s="500" t="str">
        <f>+IF(BA96=0,+IF(BB96=0,"No programación, No avance",+IF(BB96&gt;0,+IF(BA96=0,BB96/P96))),BB96/BA96)</f>
        <v>No programación, No avance</v>
      </c>
    </row>
    <row r="97" spans="1:56" s="2" customFormat="1" ht="60.75" customHeight="1">
      <c r="A97" s="721"/>
      <c r="B97" s="753"/>
      <c r="C97" s="706" t="s">
        <v>139</v>
      </c>
      <c r="D97" s="706" t="s">
        <v>1040</v>
      </c>
      <c r="E97" s="433" t="s">
        <v>1041</v>
      </c>
      <c r="F97" s="433" t="s">
        <v>472</v>
      </c>
      <c r="G97" s="433">
        <v>0.17699999999999999</v>
      </c>
      <c r="H97" s="433" t="s">
        <v>1042</v>
      </c>
      <c r="I97" s="433" t="s">
        <v>73</v>
      </c>
      <c r="J97" s="433" t="s">
        <v>711</v>
      </c>
      <c r="K97" s="433" t="s">
        <v>726</v>
      </c>
      <c r="L97" s="433" t="s">
        <v>790</v>
      </c>
      <c r="M97" s="434">
        <v>44197</v>
      </c>
      <c r="N97" s="434">
        <v>44561</v>
      </c>
      <c r="O97" s="433">
        <f>+R97+U97+X97+AA97+AD97+AG97+AJ97+AM97+AP97+AS97+AV97+AY97</f>
        <v>0.9</v>
      </c>
      <c r="P97" s="433">
        <v>1</v>
      </c>
      <c r="Q97" s="433">
        <v>0</v>
      </c>
      <c r="R97" s="433">
        <v>0.2</v>
      </c>
      <c r="S97" s="433" t="s">
        <v>140</v>
      </c>
      <c r="T97" s="433">
        <v>0.6</v>
      </c>
      <c r="U97" s="433">
        <v>0.6</v>
      </c>
      <c r="V97" s="433" t="s">
        <v>141</v>
      </c>
      <c r="W97" s="433">
        <v>0.1</v>
      </c>
      <c r="X97" s="433">
        <v>0.1</v>
      </c>
      <c r="Y97" s="436" t="s">
        <v>142</v>
      </c>
      <c r="Z97" s="433">
        <v>0</v>
      </c>
      <c r="AA97" s="433">
        <v>0</v>
      </c>
      <c r="AB97" s="436" t="s">
        <v>141</v>
      </c>
      <c r="AC97" s="433">
        <v>0</v>
      </c>
      <c r="AD97" s="433">
        <v>0</v>
      </c>
      <c r="AE97" s="436" t="s">
        <v>1043</v>
      </c>
      <c r="AF97" s="433">
        <v>0</v>
      </c>
      <c r="AG97" s="498">
        <v>0</v>
      </c>
      <c r="AH97" s="499" t="s">
        <v>1043</v>
      </c>
      <c r="AI97" s="433">
        <v>0</v>
      </c>
      <c r="AJ97" s="433"/>
      <c r="AK97" s="433"/>
      <c r="AL97" s="433">
        <v>0</v>
      </c>
      <c r="AM97" s="433"/>
      <c r="AN97" s="433"/>
      <c r="AO97" s="433">
        <v>0</v>
      </c>
      <c r="AP97" s="433"/>
      <c r="AQ97" s="433"/>
      <c r="AR97" s="433">
        <v>0</v>
      </c>
      <c r="AS97" s="433"/>
      <c r="AT97" s="433"/>
      <c r="AU97" s="433">
        <v>0</v>
      </c>
      <c r="AV97" s="433"/>
      <c r="AW97" s="433"/>
      <c r="AX97" s="433">
        <v>0</v>
      </c>
      <c r="AY97" s="435"/>
      <c r="AZ97" s="435"/>
      <c r="BA97" s="435">
        <f t="shared" si="3"/>
        <v>0.7</v>
      </c>
      <c r="BB97" s="435">
        <f t="shared" si="4"/>
        <v>0.9</v>
      </c>
      <c r="BC97" s="500">
        <f>+IF(BA97=0,+IF(BB97=0,"No programación, No avance",+IF(BB97&gt;0,+IF(BA97=0,BB97/P97))),BB97/BA97)</f>
        <v>1.2857142857142858</v>
      </c>
    </row>
    <row r="98" spans="1:56" s="2" customFormat="1" ht="60.75" customHeight="1">
      <c r="A98" s="721"/>
      <c r="B98" s="753"/>
      <c r="C98" s="706"/>
      <c r="D98" s="706"/>
      <c r="E98" s="433" t="s">
        <v>1045</v>
      </c>
      <c r="F98" s="433" t="s">
        <v>531</v>
      </c>
      <c r="G98" s="433">
        <v>0.16300000000000001</v>
      </c>
      <c r="H98" s="433" t="s">
        <v>1042</v>
      </c>
      <c r="I98" s="433" t="s">
        <v>73</v>
      </c>
      <c r="J98" s="433" t="s">
        <v>711</v>
      </c>
      <c r="K98" s="433" t="s">
        <v>726</v>
      </c>
      <c r="L98" s="433" t="s">
        <v>790</v>
      </c>
      <c r="M98" s="434">
        <v>44197</v>
      </c>
      <c r="N98" s="434">
        <v>44561</v>
      </c>
      <c r="O98" s="433">
        <f>+R98+U98+X98+AA98+AD98+AG98+AJ98+AM98+AP98+AS98+AV98+AY98</f>
        <v>4</v>
      </c>
      <c r="P98" s="433">
        <v>4</v>
      </c>
      <c r="Q98" s="433">
        <v>0</v>
      </c>
      <c r="R98" s="433">
        <v>1</v>
      </c>
      <c r="S98" s="433" t="s">
        <v>1046</v>
      </c>
      <c r="T98" s="433">
        <v>1</v>
      </c>
      <c r="U98" s="433">
        <v>1</v>
      </c>
      <c r="V98" s="433" t="s">
        <v>1047</v>
      </c>
      <c r="W98" s="433">
        <v>1</v>
      </c>
      <c r="X98" s="433">
        <v>1</v>
      </c>
      <c r="Y98" s="436" t="s">
        <v>1048</v>
      </c>
      <c r="Z98" s="433">
        <v>1</v>
      </c>
      <c r="AA98" s="433">
        <v>0</v>
      </c>
      <c r="AB98" s="436" t="s">
        <v>1047</v>
      </c>
      <c r="AC98" s="433">
        <v>1</v>
      </c>
      <c r="AD98" s="433">
        <v>1</v>
      </c>
      <c r="AE98" s="436" t="s">
        <v>1049</v>
      </c>
      <c r="AF98" s="433">
        <v>0</v>
      </c>
      <c r="AG98" s="498">
        <v>0</v>
      </c>
      <c r="AH98" s="499" t="s">
        <v>1050</v>
      </c>
      <c r="AI98" s="433">
        <v>0</v>
      </c>
      <c r="AJ98" s="433"/>
      <c r="AK98" s="433"/>
      <c r="AL98" s="433">
        <v>0</v>
      </c>
      <c r="AM98" s="433"/>
      <c r="AN98" s="433"/>
      <c r="AO98" s="433">
        <v>1</v>
      </c>
      <c r="AP98" s="433"/>
      <c r="AQ98" s="433"/>
      <c r="AR98" s="433">
        <v>0</v>
      </c>
      <c r="AS98" s="433"/>
      <c r="AT98" s="433"/>
      <c r="AU98" s="433">
        <v>1</v>
      </c>
      <c r="AV98" s="433"/>
      <c r="AW98" s="433"/>
      <c r="AX98" s="433">
        <v>0</v>
      </c>
      <c r="AY98" s="435"/>
      <c r="AZ98" s="435"/>
      <c r="BA98" s="435">
        <f t="shared" si="3"/>
        <v>4</v>
      </c>
      <c r="BB98" s="435">
        <f t="shared" si="4"/>
        <v>4</v>
      </c>
      <c r="BC98" s="500">
        <f>+IF(BA98=0,+IF(BB98=0,"No programación, No avance",+IF(BB98&gt;0,+IF(BA98=0,BB98/P98))),BB98/BA98)</f>
        <v>1</v>
      </c>
    </row>
    <row r="99" spans="1:56" s="2" customFormat="1" ht="60.75" customHeight="1">
      <c r="A99" s="721"/>
      <c r="B99" s="753"/>
      <c r="C99" s="706"/>
      <c r="D99" s="706"/>
      <c r="E99" s="433" t="s">
        <v>1052</v>
      </c>
      <c r="F99" s="433" t="s">
        <v>472</v>
      </c>
      <c r="G99" s="433">
        <v>0.16700000000000001</v>
      </c>
      <c r="H99" s="433" t="s">
        <v>1042</v>
      </c>
      <c r="I99" s="433" t="s">
        <v>79</v>
      </c>
      <c r="J99" s="433" t="s">
        <v>358</v>
      </c>
      <c r="K99" s="433" t="s">
        <v>726</v>
      </c>
      <c r="L99" s="433" t="s">
        <v>790</v>
      </c>
      <c r="M99" s="434">
        <v>44197</v>
      </c>
      <c r="N99" s="434">
        <v>44561</v>
      </c>
      <c r="O99" s="433">
        <f>+R99+U99+X99+AA99+AD99+AG99+AJ99+AM99+AP99+AS99+AV99+AY99</f>
        <v>1</v>
      </c>
      <c r="P99" s="433">
        <v>1</v>
      </c>
      <c r="Q99" s="433">
        <v>0.8</v>
      </c>
      <c r="R99" s="437">
        <v>0.8</v>
      </c>
      <c r="S99" s="433" t="s">
        <v>1053</v>
      </c>
      <c r="T99" s="433">
        <v>0.1</v>
      </c>
      <c r="U99" s="437">
        <v>0.1</v>
      </c>
      <c r="V99" s="433" t="s">
        <v>1054</v>
      </c>
      <c r="W99" s="437">
        <v>0.05</v>
      </c>
      <c r="X99" s="437">
        <v>0.05</v>
      </c>
      <c r="Y99" s="436" t="s">
        <v>1055</v>
      </c>
      <c r="Z99" s="433">
        <v>0.02</v>
      </c>
      <c r="AA99" s="437">
        <v>0.02</v>
      </c>
      <c r="AB99" s="436" t="s">
        <v>1054</v>
      </c>
      <c r="AC99" s="437">
        <v>0.02</v>
      </c>
      <c r="AD99" s="437">
        <v>0.02</v>
      </c>
      <c r="AE99" s="436" t="s">
        <v>1056</v>
      </c>
      <c r="AF99" s="437">
        <v>0.01</v>
      </c>
      <c r="AG99" s="437">
        <v>0.01</v>
      </c>
      <c r="AH99" s="436" t="s">
        <v>1057</v>
      </c>
      <c r="AI99" s="433">
        <v>0</v>
      </c>
      <c r="AJ99" s="433"/>
      <c r="AK99" s="433"/>
      <c r="AL99" s="433">
        <v>0.2</v>
      </c>
      <c r="AM99" s="433"/>
      <c r="AN99" s="433"/>
      <c r="AO99" s="433">
        <v>0</v>
      </c>
      <c r="AP99" s="433"/>
      <c r="AQ99" s="433"/>
      <c r="AR99" s="433">
        <v>0.2</v>
      </c>
      <c r="AS99" s="433"/>
      <c r="AT99" s="433"/>
      <c r="AU99" s="433">
        <v>0</v>
      </c>
      <c r="AV99" s="433"/>
      <c r="AW99" s="433"/>
      <c r="AX99" s="433">
        <v>0</v>
      </c>
      <c r="AY99" s="435"/>
      <c r="AZ99" s="435"/>
      <c r="BA99" s="435">
        <f t="shared" si="3"/>
        <v>1</v>
      </c>
      <c r="BB99" s="435">
        <f t="shared" si="4"/>
        <v>1</v>
      </c>
      <c r="BC99" s="500">
        <f>+IF(BA99=0,+IF(BB99=0,"No programación, No avance",+IF(BB99&gt;0,+IF(BA99=0,BB99/P99))),BB99/BA99)</f>
        <v>1</v>
      </c>
    </row>
    <row r="100" spans="1:56" s="2" customFormat="1" ht="60.75" customHeight="1">
      <c r="A100" s="721"/>
      <c r="B100" s="753"/>
      <c r="C100" s="706"/>
      <c r="D100" s="706"/>
      <c r="E100" s="433" t="s">
        <v>1059</v>
      </c>
      <c r="F100" s="433" t="s">
        <v>531</v>
      </c>
      <c r="G100" s="433">
        <v>0.16300000000000001</v>
      </c>
      <c r="H100" s="433" t="s">
        <v>1042</v>
      </c>
      <c r="I100" s="433" t="s">
        <v>73</v>
      </c>
      <c r="J100" s="433" t="s">
        <v>711</v>
      </c>
      <c r="K100" s="433" t="s">
        <v>726</v>
      </c>
      <c r="L100" s="433" t="s">
        <v>790</v>
      </c>
      <c r="M100" s="434">
        <v>44197</v>
      </c>
      <c r="N100" s="434">
        <v>44561</v>
      </c>
      <c r="O100" s="433">
        <f>+R100+U100+X100+AA100+AD100+AG100+AJ100+AM100+AP100+AS100+AV100+AY100</f>
        <v>0.21000000000000002</v>
      </c>
      <c r="P100" s="433">
        <v>1</v>
      </c>
      <c r="Q100" s="433">
        <v>0</v>
      </c>
      <c r="R100" s="433">
        <v>0</v>
      </c>
      <c r="S100" s="433" t="s">
        <v>1060</v>
      </c>
      <c r="T100" s="433">
        <v>0.1</v>
      </c>
      <c r="U100" s="433">
        <v>0.1</v>
      </c>
      <c r="V100" s="433" t="s">
        <v>1061</v>
      </c>
      <c r="W100" s="437">
        <v>0.05</v>
      </c>
      <c r="X100" s="437">
        <v>0.05</v>
      </c>
      <c r="Y100" s="436" t="s">
        <v>1062</v>
      </c>
      <c r="Z100" s="437">
        <v>0.02</v>
      </c>
      <c r="AA100" s="437">
        <v>0.02</v>
      </c>
      <c r="AB100" s="436" t="s">
        <v>1061</v>
      </c>
      <c r="AC100" s="437">
        <v>0.03</v>
      </c>
      <c r="AD100" s="437">
        <v>0.03</v>
      </c>
      <c r="AE100" s="436" t="s">
        <v>1063</v>
      </c>
      <c r="AF100" s="437">
        <v>0.01</v>
      </c>
      <c r="AG100" s="506">
        <v>0.01</v>
      </c>
      <c r="AH100" s="499" t="s">
        <v>1064</v>
      </c>
      <c r="AI100" s="433">
        <v>0</v>
      </c>
      <c r="AJ100" s="433"/>
      <c r="AK100" s="433"/>
      <c r="AL100" s="433">
        <v>0</v>
      </c>
      <c r="AM100" s="433"/>
      <c r="AN100" s="433"/>
      <c r="AO100" s="433">
        <v>1</v>
      </c>
      <c r="AP100" s="433"/>
      <c r="AQ100" s="433"/>
      <c r="AR100" s="433">
        <v>0</v>
      </c>
      <c r="AS100" s="433"/>
      <c r="AT100" s="433"/>
      <c r="AU100" s="433">
        <v>0</v>
      </c>
      <c r="AV100" s="433"/>
      <c r="AW100" s="433"/>
      <c r="AX100" s="433">
        <v>0</v>
      </c>
      <c r="AY100" s="435"/>
      <c r="AZ100" s="435"/>
      <c r="BA100" s="435">
        <f t="shared" si="3"/>
        <v>0.21000000000000002</v>
      </c>
      <c r="BB100" s="435">
        <f t="shared" si="4"/>
        <v>0.21000000000000002</v>
      </c>
      <c r="BC100" s="500">
        <f>+IF(BA100=0,+IF(BB100=0,"No programación, No avance",+IF(BB100&gt;0,+IF(BA100=0,BB100/P100))),BB100/BA100)</f>
        <v>1</v>
      </c>
    </row>
    <row r="101" spans="1:56" s="2" customFormat="1" ht="60.75" customHeight="1">
      <c r="A101" s="721"/>
      <c r="B101" s="753"/>
      <c r="C101" s="706"/>
      <c r="D101" s="706"/>
      <c r="E101" s="433" t="s">
        <v>1066</v>
      </c>
      <c r="F101" s="433" t="s">
        <v>531</v>
      </c>
      <c r="G101" s="433">
        <v>0.16700000000000001</v>
      </c>
      <c r="H101" s="433" t="s">
        <v>1042</v>
      </c>
      <c r="I101" s="433" t="s">
        <v>73</v>
      </c>
      <c r="J101" s="433" t="s">
        <v>711</v>
      </c>
      <c r="K101" s="433" t="s">
        <v>726</v>
      </c>
      <c r="L101" s="433" t="s">
        <v>790</v>
      </c>
      <c r="M101" s="434">
        <v>44197</v>
      </c>
      <c r="N101" s="434">
        <v>44561</v>
      </c>
      <c r="O101" s="433">
        <f>+R101+U101+X101+AA101+AD101+AG101+AJ101+AM101+AP101+AS101+AV101+AY101</f>
        <v>0</v>
      </c>
      <c r="P101" s="433">
        <v>1</v>
      </c>
      <c r="Q101" s="433">
        <v>0</v>
      </c>
      <c r="R101" s="433">
        <v>0</v>
      </c>
      <c r="S101" s="433" t="s">
        <v>1060</v>
      </c>
      <c r="T101" s="433">
        <v>0</v>
      </c>
      <c r="U101" s="433">
        <v>0</v>
      </c>
      <c r="V101" s="433" t="s">
        <v>1060</v>
      </c>
      <c r="W101" s="433">
        <v>0</v>
      </c>
      <c r="X101" s="433">
        <v>0</v>
      </c>
      <c r="Y101" s="436" t="s">
        <v>1060</v>
      </c>
      <c r="Z101" s="433">
        <v>0</v>
      </c>
      <c r="AA101" s="433">
        <v>0</v>
      </c>
      <c r="AB101" s="436" t="s">
        <v>1060</v>
      </c>
      <c r="AC101" s="433">
        <v>0</v>
      </c>
      <c r="AD101" s="433">
        <v>0</v>
      </c>
      <c r="AE101" s="436" t="s">
        <v>1060</v>
      </c>
      <c r="AF101" s="433">
        <v>0</v>
      </c>
      <c r="AG101" s="498">
        <v>0</v>
      </c>
      <c r="AH101" s="499" t="s">
        <v>1060</v>
      </c>
      <c r="AI101" s="433">
        <v>0</v>
      </c>
      <c r="AJ101" s="433"/>
      <c r="AK101" s="433"/>
      <c r="AL101" s="433">
        <v>0</v>
      </c>
      <c r="AM101" s="433"/>
      <c r="AN101" s="433"/>
      <c r="AO101" s="433">
        <v>0</v>
      </c>
      <c r="AP101" s="433"/>
      <c r="AQ101" s="433"/>
      <c r="AR101" s="433">
        <v>0</v>
      </c>
      <c r="AS101" s="433"/>
      <c r="AT101" s="433"/>
      <c r="AU101" s="433">
        <v>1</v>
      </c>
      <c r="AV101" s="433"/>
      <c r="AW101" s="433"/>
      <c r="AX101" s="433">
        <v>0</v>
      </c>
      <c r="AY101" s="435"/>
      <c r="AZ101" s="435"/>
      <c r="BA101" s="435">
        <f t="shared" si="3"/>
        <v>0</v>
      </c>
      <c r="BB101" s="435">
        <f t="shared" si="4"/>
        <v>0</v>
      </c>
      <c r="BC101" s="500" t="str">
        <f>+IF(BA101=0,+IF(BB101=0,"No programación, No avance",+IF(BB101&gt;0,+IF(BA101=0,BB101/P101))),BB101/BA101)</f>
        <v>No programación, No avance</v>
      </c>
    </row>
    <row r="102" spans="1:56" s="2" customFormat="1" ht="60.75" customHeight="1" thickBot="1">
      <c r="A102" s="722"/>
      <c r="B102" s="754"/>
      <c r="C102" s="707"/>
      <c r="D102" s="707"/>
      <c r="E102" s="440" t="s">
        <v>1068</v>
      </c>
      <c r="F102" s="440" t="s">
        <v>472</v>
      </c>
      <c r="G102" s="440">
        <v>0.16300000000000001</v>
      </c>
      <c r="H102" s="440" t="s">
        <v>1042</v>
      </c>
      <c r="I102" s="440" t="s">
        <v>79</v>
      </c>
      <c r="J102" s="440" t="s">
        <v>78</v>
      </c>
      <c r="K102" s="440" t="s">
        <v>726</v>
      </c>
      <c r="L102" s="440" t="s">
        <v>790</v>
      </c>
      <c r="M102" s="441">
        <v>44197</v>
      </c>
      <c r="N102" s="441">
        <v>44561</v>
      </c>
      <c r="O102" s="440">
        <f>+R102+U102+X102+AA102+AD102+AG102+AJ102+AM102+AP102+AS102+AV102+AY102</f>
        <v>0.32</v>
      </c>
      <c r="P102" s="440">
        <v>1</v>
      </c>
      <c r="Q102" s="440">
        <v>0</v>
      </c>
      <c r="R102" s="443">
        <v>0</v>
      </c>
      <c r="S102" s="440" t="s">
        <v>1060</v>
      </c>
      <c r="T102" s="443">
        <v>0.05</v>
      </c>
      <c r="U102" s="443">
        <v>0.05</v>
      </c>
      <c r="V102" s="440" t="s">
        <v>1069</v>
      </c>
      <c r="W102" s="440">
        <v>0.1</v>
      </c>
      <c r="X102" s="445">
        <v>0.1</v>
      </c>
      <c r="Y102" s="444" t="s">
        <v>1070</v>
      </c>
      <c r="Z102" s="443">
        <v>0.05</v>
      </c>
      <c r="AA102" s="445">
        <v>0.05</v>
      </c>
      <c r="AB102" s="444" t="s">
        <v>1069</v>
      </c>
      <c r="AC102" s="443">
        <v>7.0000000000000007E-2</v>
      </c>
      <c r="AD102" s="443">
        <v>7.0000000000000007E-2</v>
      </c>
      <c r="AE102" s="444" t="s">
        <v>1071</v>
      </c>
      <c r="AF102" s="443">
        <v>0.05</v>
      </c>
      <c r="AG102" s="506">
        <v>0.05</v>
      </c>
      <c r="AH102" s="436" t="s">
        <v>1072</v>
      </c>
      <c r="AI102" s="440">
        <v>0.1</v>
      </c>
      <c r="AJ102" s="440"/>
      <c r="AK102" s="440"/>
      <c r="AL102" s="440">
        <v>0.1</v>
      </c>
      <c r="AM102" s="440"/>
      <c r="AN102" s="440"/>
      <c r="AO102" s="440">
        <v>0.1</v>
      </c>
      <c r="AP102" s="440"/>
      <c r="AQ102" s="440"/>
      <c r="AR102" s="440">
        <v>0.1</v>
      </c>
      <c r="AS102" s="440"/>
      <c r="AT102" s="440"/>
      <c r="AU102" s="440">
        <v>0.05</v>
      </c>
      <c r="AV102" s="440"/>
      <c r="AW102" s="440"/>
      <c r="AX102" s="440">
        <v>0</v>
      </c>
      <c r="AY102" s="442"/>
      <c r="AZ102" s="442"/>
      <c r="BA102" s="435">
        <f t="shared" si="3"/>
        <v>0.32</v>
      </c>
      <c r="BB102" s="435">
        <f t="shared" si="4"/>
        <v>0.32</v>
      </c>
      <c r="BC102" s="507">
        <f>+IF(BA102=0,+IF(BB102=0,"No programación, No avance",+IF(BB102&gt;0,+IF(BA102=0,BB102/P102))),BB102/BA102)</f>
        <v>1</v>
      </c>
    </row>
    <row r="103" spans="1:56" s="2" customFormat="1" ht="35.25" customHeight="1">
      <c r="A103" s="703" t="s">
        <v>145</v>
      </c>
      <c r="B103" s="749">
        <v>46.3</v>
      </c>
      <c r="C103" s="710" t="s">
        <v>146</v>
      </c>
      <c r="D103" s="712" t="s">
        <v>147</v>
      </c>
      <c r="E103" s="447" t="s">
        <v>1074</v>
      </c>
      <c r="F103" s="447" t="s">
        <v>690</v>
      </c>
      <c r="G103" s="447">
        <v>0.01</v>
      </c>
      <c r="H103" s="447" t="s">
        <v>1075</v>
      </c>
      <c r="I103" s="447" t="s">
        <v>73</v>
      </c>
      <c r="J103" s="447" t="s">
        <v>72</v>
      </c>
      <c r="K103" s="447" t="s">
        <v>1076</v>
      </c>
      <c r="L103" s="447" t="s">
        <v>1077</v>
      </c>
      <c r="M103" s="448">
        <v>44197</v>
      </c>
      <c r="N103" s="448">
        <v>44561</v>
      </c>
      <c r="O103" s="447">
        <f>+R103+U103+X103+AA103+AD103+AG103+AJ103+AM103+AP103+AS103+AV103+AY103</f>
        <v>101348</v>
      </c>
      <c r="P103" s="447">
        <v>250000</v>
      </c>
      <c r="Q103" s="447">
        <v>0</v>
      </c>
      <c r="R103" s="447">
        <v>0</v>
      </c>
      <c r="S103" s="451" t="s">
        <v>1078</v>
      </c>
      <c r="T103" s="447">
        <v>0</v>
      </c>
      <c r="U103" s="447">
        <v>0</v>
      </c>
      <c r="V103" s="451" t="s">
        <v>1079</v>
      </c>
      <c r="W103" s="447">
        <v>0</v>
      </c>
      <c r="X103" s="447">
        <v>0</v>
      </c>
      <c r="Y103" s="451" t="s">
        <v>1080</v>
      </c>
      <c r="Z103" s="447">
        <v>62500</v>
      </c>
      <c r="AA103" s="447">
        <v>0</v>
      </c>
      <c r="AB103" s="451" t="s">
        <v>1081</v>
      </c>
      <c r="AC103" s="447">
        <v>62500</v>
      </c>
      <c r="AD103" s="447">
        <v>101348</v>
      </c>
      <c r="AE103" s="451" t="s">
        <v>1082</v>
      </c>
      <c r="AF103" s="447">
        <v>0</v>
      </c>
      <c r="AG103" s="455">
        <v>0</v>
      </c>
      <c r="AH103" s="455" t="s">
        <v>1083</v>
      </c>
      <c r="AI103" s="447">
        <v>0</v>
      </c>
      <c r="AJ103" s="447"/>
      <c r="AK103" s="447"/>
      <c r="AL103" s="447">
        <v>0</v>
      </c>
      <c r="AM103" s="447"/>
      <c r="AN103" s="447"/>
      <c r="AO103" s="447">
        <v>50000</v>
      </c>
      <c r="AP103" s="447"/>
      <c r="AQ103" s="447"/>
      <c r="AR103" s="447">
        <v>0</v>
      </c>
      <c r="AS103" s="447"/>
      <c r="AT103" s="447"/>
      <c r="AU103" s="447">
        <v>0</v>
      </c>
      <c r="AV103" s="447"/>
      <c r="AW103" s="447"/>
      <c r="AX103" s="447">
        <v>75000</v>
      </c>
      <c r="AY103" s="449"/>
      <c r="AZ103" s="449"/>
      <c r="BA103" s="453">
        <f t="shared" si="3"/>
        <v>125000</v>
      </c>
      <c r="BB103" s="453">
        <f t="shared" si="4"/>
        <v>101348</v>
      </c>
      <c r="BC103" s="454">
        <f>+IF(BA103=0,+IF(BB103=0,"No programación, No avance",+IF(BB103&gt;0,+IF(BA103=0,BB103/P103))),BB103/BA103)</f>
        <v>0.81078399999999995</v>
      </c>
      <c r="BD103" s="2">
        <f>+AVERAGE(BC103:BC138)</f>
        <v>0.75625128423840138</v>
      </c>
    </row>
    <row r="104" spans="1:56" s="2" customFormat="1" ht="46.5" customHeight="1">
      <c r="A104" s="713"/>
      <c r="B104" s="750"/>
      <c r="C104" s="685"/>
      <c r="D104" s="711"/>
      <c r="E104" s="455" t="s">
        <v>1085</v>
      </c>
      <c r="F104" s="455" t="s">
        <v>690</v>
      </c>
      <c r="G104" s="455">
        <v>0.02</v>
      </c>
      <c r="H104" s="455" t="s">
        <v>1086</v>
      </c>
      <c r="I104" s="455" t="s">
        <v>73</v>
      </c>
      <c r="J104" s="455" t="s">
        <v>72</v>
      </c>
      <c r="K104" s="455" t="s">
        <v>1076</v>
      </c>
      <c r="L104" s="455" t="s">
        <v>1077</v>
      </c>
      <c r="M104" s="456">
        <v>44197</v>
      </c>
      <c r="N104" s="456">
        <v>44561</v>
      </c>
      <c r="O104" s="455">
        <f>+R104+U104+X104+AA104+AD104+AG104+AJ104+AM104+AP104+AS104+AV104+AY104</f>
        <v>8428</v>
      </c>
      <c r="P104" s="455">
        <v>25000</v>
      </c>
      <c r="Q104" s="455">
        <v>2000</v>
      </c>
      <c r="R104" s="455">
        <v>1393</v>
      </c>
      <c r="S104" s="457" t="s">
        <v>1087</v>
      </c>
      <c r="T104" s="455">
        <v>2000</v>
      </c>
      <c r="U104" s="455">
        <v>1311</v>
      </c>
      <c r="V104" s="457" t="s">
        <v>1088</v>
      </c>
      <c r="W104" s="455">
        <v>2000</v>
      </c>
      <c r="X104" s="455">
        <v>1511</v>
      </c>
      <c r="Y104" s="457" t="s">
        <v>1089</v>
      </c>
      <c r="Z104" s="455">
        <v>2000</v>
      </c>
      <c r="AA104" s="455">
        <v>1378</v>
      </c>
      <c r="AB104" s="457" t="s">
        <v>1090</v>
      </c>
      <c r="AC104" s="455">
        <v>2000</v>
      </c>
      <c r="AD104" s="455">
        <v>452</v>
      </c>
      <c r="AE104" s="457" t="s">
        <v>2862</v>
      </c>
      <c r="AF104" s="455">
        <v>2000</v>
      </c>
      <c r="AG104" s="455">
        <v>2383</v>
      </c>
      <c r="AH104" s="455" t="s">
        <v>1092</v>
      </c>
      <c r="AI104" s="455">
        <v>3000</v>
      </c>
      <c r="AJ104" s="455"/>
      <c r="AK104" s="455"/>
      <c r="AL104" s="455">
        <v>3000</v>
      </c>
      <c r="AM104" s="455"/>
      <c r="AN104" s="455"/>
      <c r="AO104" s="455">
        <v>3000</v>
      </c>
      <c r="AP104" s="455"/>
      <c r="AQ104" s="455"/>
      <c r="AR104" s="455">
        <v>3000</v>
      </c>
      <c r="AS104" s="455"/>
      <c r="AT104" s="455"/>
      <c r="AU104" s="455">
        <v>2000</v>
      </c>
      <c r="AV104" s="455"/>
      <c r="AW104" s="455"/>
      <c r="AX104" s="455">
        <v>1000</v>
      </c>
      <c r="AY104" s="453"/>
      <c r="AZ104" s="453"/>
      <c r="BA104" s="453">
        <f t="shared" si="3"/>
        <v>12000</v>
      </c>
      <c r="BB104" s="453">
        <f t="shared" si="4"/>
        <v>8428</v>
      </c>
      <c r="BC104" s="459">
        <f>+IF(BA104=0,+IF(BB104=0,"No programación, No avance",+IF(BB104&gt;0,+IF(BA104=0,BB104/P104))),BB104/BA104)</f>
        <v>0.70233333333333337</v>
      </c>
    </row>
    <row r="105" spans="1:56" s="2" customFormat="1" ht="48" customHeight="1">
      <c r="A105" s="713"/>
      <c r="B105" s="750"/>
      <c r="C105" s="685"/>
      <c r="D105" s="685" t="s">
        <v>1094</v>
      </c>
      <c r="E105" s="455" t="s">
        <v>1095</v>
      </c>
      <c r="F105" s="455" t="s">
        <v>472</v>
      </c>
      <c r="G105" s="455">
        <v>0.01</v>
      </c>
      <c r="H105" s="455" t="s">
        <v>148</v>
      </c>
      <c r="I105" s="455" t="s">
        <v>73</v>
      </c>
      <c r="J105" s="455" t="s">
        <v>72</v>
      </c>
      <c r="K105" s="455" t="s">
        <v>1076</v>
      </c>
      <c r="L105" s="455" t="s">
        <v>1096</v>
      </c>
      <c r="M105" s="456">
        <v>44197</v>
      </c>
      <c r="N105" s="456">
        <v>44561</v>
      </c>
      <c r="O105" s="455">
        <f>+R105+U105+X105+AA105+AD105+AG105+AJ105+AM105+AP105+AS105+AV105+AY105</f>
        <v>0</v>
      </c>
      <c r="P105" s="455">
        <v>1</v>
      </c>
      <c r="Q105" s="455">
        <v>0</v>
      </c>
      <c r="R105" s="455">
        <v>0</v>
      </c>
      <c r="S105" s="457" t="s">
        <v>1097</v>
      </c>
      <c r="T105" s="455">
        <v>0</v>
      </c>
      <c r="U105" s="455">
        <v>0</v>
      </c>
      <c r="V105" s="457" t="s">
        <v>1098</v>
      </c>
      <c r="W105" s="455">
        <v>0</v>
      </c>
      <c r="X105" s="455">
        <v>0</v>
      </c>
      <c r="Y105" s="457" t="s">
        <v>1099</v>
      </c>
      <c r="Z105" s="455">
        <v>0</v>
      </c>
      <c r="AA105" s="474">
        <v>0</v>
      </c>
      <c r="AB105" s="475" t="s">
        <v>1099</v>
      </c>
      <c r="AC105" s="455">
        <v>0</v>
      </c>
      <c r="AD105" s="455">
        <v>0</v>
      </c>
      <c r="AE105" s="457" t="s">
        <v>1099</v>
      </c>
      <c r="AF105" s="455">
        <v>0</v>
      </c>
      <c r="AG105" s="455">
        <v>0</v>
      </c>
      <c r="AH105" s="455" t="s">
        <v>1100</v>
      </c>
      <c r="AI105" s="455">
        <v>0</v>
      </c>
      <c r="AJ105" s="455"/>
      <c r="AK105" s="455"/>
      <c r="AL105" s="455">
        <v>0</v>
      </c>
      <c r="AM105" s="455"/>
      <c r="AN105" s="455"/>
      <c r="AO105" s="455">
        <v>0</v>
      </c>
      <c r="AP105" s="455"/>
      <c r="AQ105" s="455"/>
      <c r="AR105" s="455">
        <v>0</v>
      </c>
      <c r="AS105" s="455"/>
      <c r="AT105" s="455"/>
      <c r="AU105" s="455">
        <v>0</v>
      </c>
      <c r="AV105" s="455"/>
      <c r="AW105" s="455"/>
      <c r="AX105" s="455">
        <v>1</v>
      </c>
      <c r="AY105" s="453"/>
      <c r="AZ105" s="453"/>
      <c r="BA105" s="453">
        <f t="shared" si="3"/>
        <v>0</v>
      </c>
      <c r="BB105" s="453">
        <f t="shared" si="4"/>
        <v>0</v>
      </c>
      <c r="BC105" s="459" t="str">
        <f>+IF(BA105=0,+IF(BB105=0,"No programación, No avance",+IF(BB105&gt;0,+IF(BA105=0,BB105/P105))),BB105/BA105)</f>
        <v>No programación, No avance</v>
      </c>
    </row>
    <row r="106" spans="1:56" s="2" customFormat="1" ht="60">
      <c r="A106" s="713"/>
      <c r="B106" s="750"/>
      <c r="C106" s="685"/>
      <c r="D106" s="685"/>
      <c r="E106" s="455" t="s">
        <v>1102</v>
      </c>
      <c r="F106" s="455" t="s">
        <v>472</v>
      </c>
      <c r="G106" s="455">
        <v>0.01</v>
      </c>
      <c r="H106" s="455" t="s">
        <v>148</v>
      </c>
      <c r="I106" s="455" t="s">
        <v>73</v>
      </c>
      <c r="J106" s="455" t="s">
        <v>72</v>
      </c>
      <c r="K106" s="455" t="s">
        <v>1076</v>
      </c>
      <c r="L106" s="455" t="s">
        <v>1077</v>
      </c>
      <c r="M106" s="456">
        <v>44197</v>
      </c>
      <c r="N106" s="456">
        <v>44561</v>
      </c>
      <c r="O106" s="455">
        <f>+R106+U106+X106+AA106+AD106+AG106+AJ106+AM106+AP106+AS106+AV106+AY106</f>
        <v>0</v>
      </c>
      <c r="P106" s="455">
        <v>6</v>
      </c>
      <c r="Q106" s="455">
        <v>0</v>
      </c>
      <c r="R106" s="455">
        <v>0</v>
      </c>
      <c r="S106" s="457" t="s">
        <v>1103</v>
      </c>
      <c r="T106" s="455">
        <v>0</v>
      </c>
      <c r="U106" s="455">
        <v>0</v>
      </c>
      <c r="V106" s="457" t="s">
        <v>1104</v>
      </c>
      <c r="W106" s="455">
        <v>0</v>
      </c>
      <c r="X106" s="455">
        <v>0</v>
      </c>
      <c r="Y106" s="457" t="s">
        <v>1105</v>
      </c>
      <c r="Z106" s="455">
        <v>0</v>
      </c>
      <c r="AA106" s="474">
        <v>0</v>
      </c>
      <c r="AB106" s="475" t="s">
        <v>1105</v>
      </c>
      <c r="AC106" s="455">
        <v>0</v>
      </c>
      <c r="AD106" s="455">
        <v>0</v>
      </c>
      <c r="AE106" s="457" t="s">
        <v>1105</v>
      </c>
      <c r="AF106" s="455">
        <v>6</v>
      </c>
      <c r="AG106" s="455">
        <v>0</v>
      </c>
      <c r="AH106" s="455" t="s">
        <v>1106</v>
      </c>
      <c r="AI106" s="455">
        <v>0</v>
      </c>
      <c r="AJ106" s="455"/>
      <c r="AK106" s="455"/>
      <c r="AL106" s="455">
        <v>0</v>
      </c>
      <c r="AM106" s="455"/>
      <c r="AN106" s="455"/>
      <c r="AO106" s="455">
        <v>0</v>
      </c>
      <c r="AP106" s="455"/>
      <c r="AQ106" s="455"/>
      <c r="AR106" s="455">
        <v>0</v>
      </c>
      <c r="AS106" s="455"/>
      <c r="AT106" s="455"/>
      <c r="AU106" s="455">
        <v>0</v>
      </c>
      <c r="AV106" s="455"/>
      <c r="AW106" s="455"/>
      <c r="AX106" s="455">
        <v>0</v>
      </c>
      <c r="AY106" s="453"/>
      <c r="AZ106" s="453"/>
      <c r="BA106" s="453">
        <f t="shared" si="3"/>
        <v>6</v>
      </c>
      <c r="BB106" s="453">
        <f t="shared" si="4"/>
        <v>0</v>
      </c>
      <c r="BC106" s="459">
        <f>+IF(BA106=0,+IF(BB106=0,"No programación, No avance",+IF(BB106&gt;0,+IF(BA106=0,BB106/P106))),BB106/BA106)</f>
        <v>0</v>
      </c>
    </row>
    <row r="107" spans="1:56" s="2" customFormat="1" ht="39" customHeight="1">
      <c r="A107" s="713"/>
      <c r="B107" s="750"/>
      <c r="C107" s="685" t="s">
        <v>151</v>
      </c>
      <c r="D107" s="685" t="s">
        <v>1108</v>
      </c>
      <c r="E107" s="455" t="s">
        <v>1109</v>
      </c>
      <c r="F107" s="455" t="s">
        <v>531</v>
      </c>
      <c r="G107" s="455">
        <v>0.02</v>
      </c>
      <c r="H107" s="455" t="s">
        <v>1110</v>
      </c>
      <c r="I107" s="455" t="s">
        <v>73</v>
      </c>
      <c r="J107" s="455" t="s">
        <v>902</v>
      </c>
      <c r="K107" s="455" t="s">
        <v>1076</v>
      </c>
      <c r="L107" s="455" t="s">
        <v>1096</v>
      </c>
      <c r="M107" s="456">
        <v>44197</v>
      </c>
      <c r="N107" s="456">
        <v>44561</v>
      </c>
      <c r="O107" s="455">
        <f>+R107+U107+X107+AA107+AD107+AG107+AJ107+AM107+AP107+AS107+AV107+AY107</f>
        <v>1</v>
      </c>
      <c r="P107" s="455">
        <v>1</v>
      </c>
      <c r="Q107" s="455">
        <v>0</v>
      </c>
      <c r="R107" s="455">
        <v>0</v>
      </c>
      <c r="S107" s="457" t="s">
        <v>1111</v>
      </c>
      <c r="T107" s="455">
        <v>0</v>
      </c>
      <c r="U107" s="455">
        <v>0</v>
      </c>
      <c r="V107" s="457" t="s">
        <v>1111</v>
      </c>
      <c r="W107" s="455">
        <v>0</v>
      </c>
      <c r="X107" s="455">
        <v>0</v>
      </c>
      <c r="Y107" s="457" t="s">
        <v>1112</v>
      </c>
      <c r="Z107" s="455">
        <v>0</v>
      </c>
      <c r="AA107" s="474">
        <v>1</v>
      </c>
      <c r="AB107" s="475" t="s">
        <v>1113</v>
      </c>
      <c r="AC107" s="455">
        <v>0</v>
      </c>
      <c r="AD107" s="455">
        <v>0</v>
      </c>
      <c r="AE107" s="455" t="s">
        <v>1114</v>
      </c>
      <c r="AF107" s="455">
        <v>1</v>
      </c>
      <c r="AG107" s="455">
        <v>0</v>
      </c>
      <c r="AH107" s="455" t="s">
        <v>1114</v>
      </c>
      <c r="AI107" s="455">
        <v>0</v>
      </c>
      <c r="AJ107" s="455"/>
      <c r="AK107" s="455"/>
      <c r="AL107" s="455">
        <v>0</v>
      </c>
      <c r="AM107" s="455"/>
      <c r="AN107" s="455"/>
      <c r="AO107" s="455">
        <v>0</v>
      </c>
      <c r="AP107" s="455"/>
      <c r="AQ107" s="455"/>
      <c r="AR107" s="455">
        <v>0</v>
      </c>
      <c r="AS107" s="455"/>
      <c r="AT107" s="455"/>
      <c r="AU107" s="455">
        <v>0</v>
      </c>
      <c r="AV107" s="455"/>
      <c r="AW107" s="455"/>
      <c r="AX107" s="455">
        <v>0</v>
      </c>
      <c r="AY107" s="453"/>
      <c r="AZ107" s="453"/>
      <c r="BA107" s="453">
        <f t="shared" si="3"/>
        <v>1</v>
      </c>
      <c r="BB107" s="453">
        <f t="shared" si="4"/>
        <v>1</v>
      </c>
      <c r="BC107" s="459">
        <f>+IF(BA107=0,+IF(BB107=0,"No programación, No avance",+IF(BB107&gt;0,+IF(BA107=0,BB107/P107))),BB107/BA107)</f>
        <v>1</v>
      </c>
    </row>
    <row r="108" spans="1:56" s="2" customFormat="1" ht="180">
      <c r="A108" s="713"/>
      <c r="B108" s="750"/>
      <c r="C108" s="685"/>
      <c r="D108" s="685"/>
      <c r="E108" s="455" t="s">
        <v>1116</v>
      </c>
      <c r="F108" s="455" t="s">
        <v>531</v>
      </c>
      <c r="G108" s="455">
        <v>0.02</v>
      </c>
      <c r="H108" s="455" t="s">
        <v>1110</v>
      </c>
      <c r="I108" s="455" t="s">
        <v>73</v>
      </c>
      <c r="J108" s="455" t="s">
        <v>902</v>
      </c>
      <c r="K108" s="455" t="s">
        <v>1076</v>
      </c>
      <c r="L108" s="455" t="s">
        <v>1077</v>
      </c>
      <c r="M108" s="456">
        <v>44197</v>
      </c>
      <c r="N108" s="456">
        <v>44561</v>
      </c>
      <c r="O108" s="455">
        <f>+R108+U108+X108+AA108+AD108+AG108+AJ108+AM108+AP108+AS108+AV108+AY108</f>
        <v>1</v>
      </c>
      <c r="P108" s="455">
        <v>1</v>
      </c>
      <c r="Q108" s="455">
        <v>0</v>
      </c>
      <c r="R108" s="455">
        <v>0</v>
      </c>
      <c r="S108" s="457" t="s">
        <v>1111</v>
      </c>
      <c r="T108" s="455">
        <v>0</v>
      </c>
      <c r="U108" s="455">
        <v>0</v>
      </c>
      <c r="V108" s="457" t="s">
        <v>1111</v>
      </c>
      <c r="W108" s="455">
        <v>0</v>
      </c>
      <c r="X108" s="455">
        <v>0</v>
      </c>
      <c r="Y108" s="457" t="s">
        <v>1112</v>
      </c>
      <c r="Z108" s="455">
        <v>0</v>
      </c>
      <c r="AA108" s="474">
        <v>1</v>
      </c>
      <c r="AB108" s="475" t="s">
        <v>1113</v>
      </c>
      <c r="AC108" s="455">
        <v>0</v>
      </c>
      <c r="AD108" s="455">
        <v>0</v>
      </c>
      <c r="AE108" s="455" t="s">
        <v>1114</v>
      </c>
      <c r="AF108" s="455">
        <v>1</v>
      </c>
      <c r="AG108" s="455">
        <v>0</v>
      </c>
      <c r="AH108" s="455" t="s">
        <v>1114</v>
      </c>
      <c r="AI108" s="455">
        <v>0</v>
      </c>
      <c r="AJ108" s="455"/>
      <c r="AK108" s="455"/>
      <c r="AL108" s="455">
        <v>0</v>
      </c>
      <c r="AM108" s="455"/>
      <c r="AN108" s="455"/>
      <c r="AO108" s="455">
        <v>0</v>
      </c>
      <c r="AP108" s="455"/>
      <c r="AQ108" s="455"/>
      <c r="AR108" s="455">
        <v>0</v>
      </c>
      <c r="AS108" s="455"/>
      <c r="AT108" s="455"/>
      <c r="AU108" s="455">
        <v>0</v>
      </c>
      <c r="AV108" s="455"/>
      <c r="AW108" s="455"/>
      <c r="AX108" s="455">
        <v>0</v>
      </c>
      <c r="AY108" s="453"/>
      <c r="AZ108" s="453"/>
      <c r="BA108" s="453">
        <f t="shared" si="3"/>
        <v>1</v>
      </c>
      <c r="BB108" s="453">
        <f t="shared" si="4"/>
        <v>1</v>
      </c>
      <c r="BC108" s="459">
        <f>+IF(BA108=0,+IF(BB108=0,"No programación, No avance",+IF(BB108&gt;0,+IF(BA108=0,BB108/P108))),BB108/BA108)</f>
        <v>1</v>
      </c>
    </row>
    <row r="109" spans="1:56" s="2" customFormat="1" ht="84">
      <c r="A109" s="713"/>
      <c r="B109" s="750"/>
      <c r="C109" s="685"/>
      <c r="D109" s="685"/>
      <c r="E109" s="455" t="s">
        <v>1118</v>
      </c>
      <c r="F109" s="455" t="s">
        <v>531</v>
      </c>
      <c r="G109" s="455">
        <v>0.04</v>
      </c>
      <c r="H109" s="455" t="s">
        <v>1110</v>
      </c>
      <c r="I109" s="455" t="s">
        <v>73</v>
      </c>
      <c r="J109" s="455" t="s">
        <v>902</v>
      </c>
      <c r="K109" s="455" t="s">
        <v>1076</v>
      </c>
      <c r="L109" s="455" t="s">
        <v>1077</v>
      </c>
      <c r="M109" s="456">
        <v>44197</v>
      </c>
      <c r="N109" s="456">
        <v>44561</v>
      </c>
      <c r="O109" s="455">
        <f>+R109+U109+X109+AA109+AD109+AG109+AJ109+AM109+AP109+AS109+AV109+AY109</f>
        <v>1</v>
      </c>
      <c r="P109" s="455">
        <v>1</v>
      </c>
      <c r="Q109" s="455">
        <v>0</v>
      </c>
      <c r="R109" s="455">
        <v>0</v>
      </c>
      <c r="S109" s="457" t="s">
        <v>1119</v>
      </c>
      <c r="T109" s="455">
        <v>0</v>
      </c>
      <c r="U109" s="455">
        <v>0</v>
      </c>
      <c r="V109" s="457" t="s">
        <v>1119</v>
      </c>
      <c r="W109" s="455">
        <v>0</v>
      </c>
      <c r="X109" s="455">
        <v>0</v>
      </c>
      <c r="Y109" s="457" t="s">
        <v>1120</v>
      </c>
      <c r="Z109" s="455">
        <v>0</v>
      </c>
      <c r="AA109" s="474">
        <v>1</v>
      </c>
      <c r="AB109" s="475" t="s">
        <v>1121</v>
      </c>
      <c r="AC109" s="455">
        <v>0</v>
      </c>
      <c r="AD109" s="455">
        <v>0</v>
      </c>
      <c r="AE109" s="455" t="s">
        <v>1114</v>
      </c>
      <c r="AF109" s="455">
        <v>0</v>
      </c>
      <c r="AG109" s="455">
        <v>0</v>
      </c>
      <c r="AH109" s="455" t="s">
        <v>1114</v>
      </c>
      <c r="AI109" s="455">
        <v>0</v>
      </c>
      <c r="AJ109" s="455"/>
      <c r="AK109" s="455"/>
      <c r="AL109" s="455">
        <v>0</v>
      </c>
      <c r="AM109" s="455"/>
      <c r="AN109" s="455"/>
      <c r="AO109" s="455">
        <v>0</v>
      </c>
      <c r="AP109" s="455"/>
      <c r="AQ109" s="455"/>
      <c r="AR109" s="455">
        <v>1</v>
      </c>
      <c r="AS109" s="455"/>
      <c r="AT109" s="455"/>
      <c r="AU109" s="455">
        <v>0</v>
      </c>
      <c r="AV109" s="455"/>
      <c r="AW109" s="455"/>
      <c r="AX109" s="455">
        <v>0</v>
      </c>
      <c r="AY109" s="453"/>
      <c r="AZ109" s="453"/>
      <c r="BA109" s="453">
        <f t="shared" si="3"/>
        <v>0</v>
      </c>
      <c r="BB109" s="453">
        <f t="shared" si="4"/>
        <v>1</v>
      </c>
      <c r="BC109" s="459">
        <f>+IF(BA109=0,+IF(BB109=0,"No programación, No avance",+IF(BB109&gt;0,+IF(BA109=0,BB109/P109))),BB109/BA109)</f>
        <v>1</v>
      </c>
    </row>
    <row r="110" spans="1:56" s="2" customFormat="1" ht="156">
      <c r="A110" s="713"/>
      <c r="B110" s="750"/>
      <c r="C110" s="685"/>
      <c r="D110" s="685"/>
      <c r="E110" s="455" t="s">
        <v>1123</v>
      </c>
      <c r="F110" s="455" t="s">
        <v>531</v>
      </c>
      <c r="G110" s="455">
        <v>0.04</v>
      </c>
      <c r="H110" s="455" t="s">
        <v>1110</v>
      </c>
      <c r="I110" s="455" t="s">
        <v>73</v>
      </c>
      <c r="J110" s="455" t="s">
        <v>902</v>
      </c>
      <c r="K110" s="455" t="s">
        <v>1076</v>
      </c>
      <c r="L110" s="455" t="s">
        <v>1096</v>
      </c>
      <c r="M110" s="456">
        <v>44197</v>
      </c>
      <c r="N110" s="456">
        <v>44561</v>
      </c>
      <c r="O110" s="455">
        <f>+R110+U110+X110+AA110+AD110+AG110+AJ110+AM110+AP110+AS110+AV110+AY110</f>
        <v>0</v>
      </c>
      <c r="P110" s="455">
        <v>1</v>
      </c>
      <c r="Q110" s="455">
        <v>0</v>
      </c>
      <c r="R110" s="455">
        <v>0</v>
      </c>
      <c r="S110" s="457" t="s">
        <v>1124</v>
      </c>
      <c r="T110" s="455">
        <v>0</v>
      </c>
      <c r="U110" s="455">
        <v>0</v>
      </c>
      <c r="V110" s="457" t="s">
        <v>1124</v>
      </c>
      <c r="W110" s="455">
        <v>0</v>
      </c>
      <c r="X110" s="455">
        <v>0</v>
      </c>
      <c r="Y110" s="457" t="s">
        <v>1124</v>
      </c>
      <c r="Z110" s="455">
        <v>0</v>
      </c>
      <c r="AA110" s="474">
        <v>0</v>
      </c>
      <c r="AB110" s="475" t="s">
        <v>1125</v>
      </c>
      <c r="AC110" s="455">
        <v>0</v>
      </c>
      <c r="AD110" s="455">
        <v>0</v>
      </c>
      <c r="AE110" s="455" t="s">
        <v>1125</v>
      </c>
      <c r="AF110" s="455">
        <v>0</v>
      </c>
      <c r="AG110" s="455">
        <v>0</v>
      </c>
      <c r="AH110" s="455" t="s">
        <v>1126</v>
      </c>
      <c r="AI110" s="455">
        <v>0</v>
      </c>
      <c r="AJ110" s="455"/>
      <c r="AK110" s="455"/>
      <c r="AL110" s="455">
        <v>0</v>
      </c>
      <c r="AM110" s="455"/>
      <c r="AN110" s="455"/>
      <c r="AO110" s="455">
        <v>0</v>
      </c>
      <c r="AP110" s="455"/>
      <c r="AQ110" s="455"/>
      <c r="AR110" s="455">
        <v>1</v>
      </c>
      <c r="AS110" s="455"/>
      <c r="AT110" s="455"/>
      <c r="AU110" s="455">
        <v>0</v>
      </c>
      <c r="AV110" s="455"/>
      <c r="AW110" s="455"/>
      <c r="AX110" s="455">
        <v>0</v>
      </c>
      <c r="AY110" s="453"/>
      <c r="AZ110" s="453"/>
      <c r="BA110" s="453">
        <f t="shared" si="3"/>
        <v>0</v>
      </c>
      <c r="BB110" s="453">
        <f t="shared" si="4"/>
        <v>0</v>
      </c>
      <c r="BC110" s="459" t="str">
        <f>+IF(BA110=0,+IF(BB110=0,"No programación, No avance",+IF(BB110&gt;0,+IF(BA110=0,BB110/P110))),BB110/BA110)</f>
        <v>No programación, No avance</v>
      </c>
    </row>
    <row r="111" spans="1:56" s="2" customFormat="1" ht="108">
      <c r="A111" s="713"/>
      <c r="B111" s="750"/>
      <c r="C111" s="685"/>
      <c r="D111" s="685"/>
      <c r="E111" s="455" t="s">
        <v>1128</v>
      </c>
      <c r="F111" s="455" t="s">
        <v>531</v>
      </c>
      <c r="G111" s="455">
        <v>0.05</v>
      </c>
      <c r="H111" s="455" t="s">
        <v>1110</v>
      </c>
      <c r="I111" s="455" t="s">
        <v>73</v>
      </c>
      <c r="J111" s="455" t="s">
        <v>902</v>
      </c>
      <c r="K111" s="455" t="s">
        <v>1076</v>
      </c>
      <c r="L111" s="455" t="s">
        <v>1077</v>
      </c>
      <c r="M111" s="456">
        <v>44197</v>
      </c>
      <c r="N111" s="456">
        <v>44561</v>
      </c>
      <c r="O111" s="455">
        <f>+R111+U111+X111+AA111+AD111+AG111+AJ111+AM111+AP111+AS111+AV111+AY111</f>
        <v>0</v>
      </c>
      <c r="P111" s="455">
        <v>1</v>
      </c>
      <c r="Q111" s="455">
        <v>0</v>
      </c>
      <c r="R111" s="455">
        <v>0</v>
      </c>
      <c r="S111" s="457" t="s">
        <v>1129</v>
      </c>
      <c r="T111" s="455">
        <v>0</v>
      </c>
      <c r="U111" s="455">
        <v>0</v>
      </c>
      <c r="V111" s="457" t="s">
        <v>1130</v>
      </c>
      <c r="W111" s="455">
        <v>0</v>
      </c>
      <c r="X111" s="455">
        <v>0</v>
      </c>
      <c r="Y111" s="457" t="s">
        <v>1130</v>
      </c>
      <c r="Z111" s="455">
        <v>0</v>
      </c>
      <c r="AA111" s="455">
        <v>0</v>
      </c>
      <c r="AB111" s="457" t="s">
        <v>1131</v>
      </c>
      <c r="AC111" s="455">
        <v>0</v>
      </c>
      <c r="AD111" s="455">
        <v>0</v>
      </c>
      <c r="AE111" s="457" t="s">
        <v>1132</v>
      </c>
      <c r="AF111" s="455">
        <v>0</v>
      </c>
      <c r="AG111" s="455">
        <v>0</v>
      </c>
      <c r="AH111" s="455" t="s">
        <v>1132</v>
      </c>
      <c r="AI111" s="455">
        <v>0</v>
      </c>
      <c r="AJ111" s="455"/>
      <c r="AK111" s="455"/>
      <c r="AL111" s="455">
        <v>0</v>
      </c>
      <c r="AM111" s="455"/>
      <c r="AN111" s="455"/>
      <c r="AO111" s="455">
        <v>0</v>
      </c>
      <c r="AP111" s="455"/>
      <c r="AQ111" s="455"/>
      <c r="AR111" s="455">
        <v>0</v>
      </c>
      <c r="AS111" s="455"/>
      <c r="AT111" s="455"/>
      <c r="AU111" s="455">
        <v>0</v>
      </c>
      <c r="AV111" s="455"/>
      <c r="AW111" s="455"/>
      <c r="AX111" s="455">
        <v>1</v>
      </c>
      <c r="AY111" s="453"/>
      <c r="AZ111" s="453"/>
      <c r="BA111" s="453">
        <f t="shared" si="3"/>
        <v>0</v>
      </c>
      <c r="BB111" s="453">
        <f t="shared" si="4"/>
        <v>0</v>
      </c>
      <c r="BC111" s="459" t="str">
        <f>+IF(BA111=0,+IF(BB111=0,"No programación, No avance",+IF(BB111&gt;0,+IF(BA111=0,BB111/P111))),BB111/BA111)</f>
        <v>No programación, No avance</v>
      </c>
    </row>
    <row r="112" spans="1:56" s="2" customFormat="1" ht="60" customHeight="1">
      <c r="A112" s="713"/>
      <c r="B112" s="750"/>
      <c r="C112" s="685" t="s">
        <v>154</v>
      </c>
      <c r="D112" s="685" t="s">
        <v>1134</v>
      </c>
      <c r="E112" s="455" t="s">
        <v>1135</v>
      </c>
      <c r="F112" s="455" t="s">
        <v>472</v>
      </c>
      <c r="G112" s="455">
        <v>0.03</v>
      </c>
      <c r="H112" s="455" t="s">
        <v>152</v>
      </c>
      <c r="I112" s="455" t="s">
        <v>73</v>
      </c>
      <c r="J112" s="455" t="s">
        <v>72</v>
      </c>
      <c r="K112" s="455" t="s">
        <v>1076</v>
      </c>
      <c r="L112" s="455" t="s">
        <v>1096</v>
      </c>
      <c r="M112" s="456">
        <v>44197</v>
      </c>
      <c r="N112" s="456">
        <v>44561</v>
      </c>
      <c r="O112" s="455">
        <f>+R112+U112+X112+AA112+AD112+AG112+AJ112+AM112+AP112+AS112+AV112+AY112</f>
        <v>0</v>
      </c>
      <c r="P112" s="455">
        <v>1</v>
      </c>
      <c r="Q112" s="455">
        <v>0</v>
      </c>
      <c r="R112" s="455">
        <v>0</v>
      </c>
      <c r="S112" s="457" t="s">
        <v>1136</v>
      </c>
      <c r="T112" s="455">
        <v>0</v>
      </c>
      <c r="U112" s="455">
        <v>0</v>
      </c>
      <c r="V112" s="457" t="s">
        <v>1136</v>
      </c>
      <c r="W112" s="455">
        <v>0</v>
      </c>
      <c r="X112" s="455">
        <v>0</v>
      </c>
      <c r="Y112" s="457" t="s">
        <v>1136</v>
      </c>
      <c r="Z112" s="455">
        <v>0</v>
      </c>
      <c r="AA112" s="474">
        <v>0</v>
      </c>
      <c r="AB112" s="475" t="s">
        <v>1136</v>
      </c>
      <c r="AC112" s="455">
        <v>0</v>
      </c>
      <c r="AD112" s="455">
        <v>0</v>
      </c>
      <c r="AE112" s="457" t="s">
        <v>1136</v>
      </c>
      <c r="AF112" s="455">
        <v>0</v>
      </c>
      <c r="AG112" s="455">
        <v>0</v>
      </c>
      <c r="AH112" s="455" t="s">
        <v>1137</v>
      </c>
      <c r="AI112" s="455">
        <v>0</v>
      </c>
      <c r="AJ112" s="455"/>
      <c r="AK112" s="455"/>
      <c r="AL112" s="455">
        <v>0</v>
      </c>
      <c r="AM112" s="455"/>
      <c r="AN112" s="455"/>
      <c r="AO112" s="455">
        <v>0</v>
      </c>
      <c r="AP112" s="455"/>
      <c r="AQ112" s="455"/>
      <c r="AR112" s="455">
        <v>1</v>
      </c>
      <c r="AS112" s="455"/>
      <c r="AT112" s="455"/>
      <c r="AU112" s="455">
        <v>0</v>
      </c>
      <c r="AV112" s="455"/>
      <c r="AW112" s="455"/>
      <c r="AX112" s="455">
        <v>0</v>
      </c>
      <c r="AY112" s="453"/>
      <c r="AZ112" s="453"/>
      <c r="BA112" s="453">
        <f t="shared" si="3"/>
        <v>0</v>
      </c>
      <c r="BB112" s="453">
        <f t="shared" si="4"/>
        <v>0</v>
      </c>
      <c r="BC112" s="459" t="str">
        <f>+IF(BA112=0,+IF(BB112=0,"No programación, No avance",+IF(BB112&gt;0,+IF(BA112=0,BB112/P112))),BB112/BA112)</f>
        <v>No programación, No avance</v>
      </c>
    </row>
    <row r="113" spans="1:55" s="2" customFormat="1" ht="60" customHeight="1">
      <c r="A113" s="713"/>
      <c r="B113" s="750"/>
      <c r="C113" s="685"/>
      <c r="D113" s="685"/>
      <c r="E113" s="455" t="s">
        <v>1139</v>
      </c>
      <c r="F113" s="455" t="s">
        <v>472</v>
      </c>
      <c r="G113" s="455">
        <v>0.03</v>
      </c>
      <c r="H113" s="455" t="s">
        <v>152</v>
      </c>
      <c r="I113" s="455" t="s">
        <v>79</v>
      </c>
      <c r="J113" s="455" t="s">
        <v>1140</v>
      </c>
      <c r="K113" s="455" t="s">
        <v>1076</v>
      </c>
      <c r="L113" s="455" t="s">
        <v>1077</v>
      </c>
      <c r="M113" s="456">
        <v>44197</v>
      </c>
      <c r="N113" s="456">
        <v>44561</v>
      </c>
      <c r="O113" s="455">
        <f>+R113+U113+X113+AA113+AD113+AG113+AJ113+AM113+AP113+AS113+AV113+AY113</f>
        <v>0</v>
      </c>
      <c r="P113" s="455">
        <v>1</v>
      </c>
      <c r="Q113" s="455">
        <v>0</v>
      </c>
      <c r="R113" s="464">
        <v>0</v>
      </c>
      <c r="S113" s="457" t="s">
        <v>1141</v>
      </c>
      <c r="T113" s="455">
        <v>0</v>
      </c>
      <c r="U113" s="464">
        <v>0</v>
      </c>
      <c r="V113" s="457" t="s">
        <v>1141</v>
      </c>
      <c r="W113" s="455">
        <v>0</v>
      </c>
      <c r="X113" s="464">
        <v>0</v>
      </c>
      <c r="Y113" s="457" t="s">
        <v>1142</v>
      </c>
      <c r="Z113" s="455">
        <v>0</v>
      </c>
      <c r="AA113" s="481">
        <v>0</v>
      </c>
      <c r="AB113" s="475" t="s">
        <v>1143</v>
      </c>
      <c r="AC113" s="455">
        <v>0</v>
      </c>
      <c r="AD113" s="464">
        <v>0</v>
      </c>
      <c r="AE113" s="457" t="s">
        <v>1144</v>
      </c>
      <c r="AF113" s="455">
        <v>0.2</v>
      </c>
      <c r="AG113" s="464">
        <v>0</v>
      </c>
      <c r="AH113" s="455" t="s">
        <v>1145</v>
      </c>
      <c r="AI113" s="455">
        <v>0.2</v>
      </c>
      <c r="AJ113" s="455"/>
      <c r="AK113" s="455"/>
      <c r="AL113" s="455">
        <v>0.2</v>
      </c>
      <c r="AM113" s="455"/>
      <c r="AN113" s="455"/>
      <c r="AO113" s="464">
        <v>0.4</v>
      </c>
      <c r="AP113" s="455"/>
      <c r="AQ113" s="455"/>
      <c r="AR113" s="464">
        <v>0</v>
      </c>
      <c r="AS113" s="455"/>
      <c r="AT113" s="455"/>
      <c r="AU113" s="464">
        <v>0</v>
      </c>
      <c r="AV113" s="455"/>
      <c r="AW113" s="455"/>
      <c r="AX113" s="464">
        <v>0</v>
      </c>
      <c r="AY113" s="453"/>
      <c r="AZ113" s="453"/>
      <c r="BA113" s="453">
        <f t="shared" si="3"/>
        <v>0.2</v>
      </c>
      <c r="BB113" s="453">
        <f t="shared" si="4"/>
        <v>0</v>
      </c>
      <c r="BC113" s="459">
        <f>+IF(BA113=0,+IF(BB113=0,"No programación, No avance",+IF(BB113&gt;0,+IF(BA113=0,BB113/P113))),BB113/BA113)</f>
        <v>0</v>
      </c>
    </row>
    <row r="114" spans="1:55" s="2" customFormat="1" ht="60" customHeight="1">
      <c r="A114" s="713"/>
      <c r="B114" s="750"/>
      <c r="C114" s="685"/>
      <c r="D114" s="685" t="s">
        <v>1147</v>
      </c>
      <c r="E114" s="455" t="s">
        <v>1148</v>
      </c>
      <c r="F114" s="455" t="s">
        <v>472</v>
      </c>
      <c r="G114" s="455">
        <v>0.01</v>
      </c>
      <c r="H114" s="455" t="s">
        <v>1149</v>
      </c>
      <c r="I114" s="455" t="s">
        <v>79</v>
      </c>
      <c r="J114" s="455" t="s">
        <v>78</v>
      </c>
      <c r="K114" s="455" t="s">
        <v>1150</v>
      </c>
      <c r="L114" s="455" t="s">
        <v>1077</v>
      </c>
      <c r="M114" s="456">
        <v>44197</v>
      </c>
      <c r="N114" s="456">
        <v>44561</v>
      </c>
      <c r="O114" s="480">
        <f>(R114+U114+X114+AA114+AD114+AG114+AJ114+AM114+AP114+AS114+AV114+AY114)/5</f>
        <v>1.0512000000000001</v>
      </c>
      <c r="P114" s="455">
        <v>0.9</v>
      </c>
      <c r="Q114" s="455">
        <v>0.9</v>
      </c>
      <c r="R114" s="464">
        <v>0.84</v>
      </c>
      <c r="S114" s="461" t="s">
        <v>1151</v>
      </c>
      <c r="T114" s="455">
        <v>0.9</v>
      </c>
      <c r="U114" s="464">
        <v>0.84</v>
      </c>
      <c r="V114" s="457" t="s">
        <v>1152</v>
      </c>
      <c r="W114" s="455">
        <v>0.9</v>
      </c>
      <c r="X114" s="464">
        <v>0.9</v>
      </c>
      <c r="Y114" s="457" t="s">
        <v>1153</v>
      </c>
      <c r="Z114" s="455">
        <v>0.9</v>
      </c>
      <c r="AA114" s="508">
        <v>0.89</v>
      </c>
      <c r="AB114" s="475" t="s">
        <v>1154</v>
      </c>
      <c r="AC114" s="455">
        <v>0.9</v>
      </c>
      <c r="AD114" s="464">
        <v>0.92</v>
      </c>
      <c r="AE114" s="457" t="s">
        <v>1155</v>
      </c>
      <c r="AF114" s="455">
        <v>0.9</v>
      </c>
      <c r="AG114" s="480">
        <v>0.86599999999999999</v>
      </c>
      <c r="AH114" s="455" t="s">
        <v>1156</v>
      </c>
      <c r="AI114" s="455">
        <v>0.9</v>
      </c>
      <c r="AJ114" s="480"/>
      <c r="AK114" s="480"/>
      <c r="AL114" s="455">
        <v>0.9</v>
      </c>
      <c r="AM114" s="480"/>
      <c r="AN114" s="480"/>
      <c r="AO114" s="455">
        <v>0.9</v>
      </c>
      <c r="AP114" s="480"/>
      <c r="AQ114" s="480"/>
      <c r="AR114" s="455">
        <v>0.9</v>
      </c>
      <c r="AS114" s="480"/>
      <c r="AT114" s="480"/>
      <c r="AU114" s="455">
        <v>0.9</v>
      </c>
      <c r="AV114" s="480"/>
      <c r="AW114" s="480"/>
      <c r="AX114" s="455">
        <v>0.9</v>
      </c>
      <c r="AY114" s="453"/>
      <c r="AZ114" s="453"/>
      <c r="BA114" s="509">
        <f>(+Q114+T114+W114+Z114+AC114+AF114)/6</f>
        <v>0.9</v>
      </c>
      <c r="BB114" s="509">
        <f>(+R114+U114+X114+AA114+AD114+AG114)/6</f>
        <v>0.876</v>
      </c>
      <c r="BC114" s="459">
        <f>+IF(BA114=0,+IF(BB114=0,"No programación, No avance",+IF(BB114&gt;0,+IF(BA114=0,BB114/P114))),BB114/BA114)</f>
        <v>0.97333333333333327</v>
      </c>
    </row>
    <row r="115" spans="1:55" s="2" customFormat="1" ht="60" customHeight="1">
      <c r="A115" s="713"/>
      <c r="B115" s="750"/>
      <c r="C115" s="685"/>
      <c r="D115" s="685"/>
      <c r="E115" s="455" t="s">
        <v>1158</v>
      </c>
      <c r="F115" s="455" t="s">
        <v>531</v>
      </c>
      <c r="G115" s="455">
        <v>0.02</v>
      </c>
      <c r="H115" s="455" t="s">
        <v>152</v>
      </c>
      <c r="I115" s="455" t="s">
        <v>73</v>
      </c>
      <c r="J115" s="455" t="s">
        <v>902</v>
      </c>
      <c r="K115" s="455" t="s">
        <v>426</v>
      </c>
      <c r="L115" s="455" t="s">
        <v>426</v>
      </c>
      <c r="M115" s="456">
        <v>44197</v>
      </c>
      <c r="N115" s="456">
        <v>44561</v>
      </c>
      <c r="O115" s="455">
        <f>+R115+U115+X115+AA115+AD115+AG115+AJ115+AM115+AP115+AS115+AV115+AY115</f>
        <v>0</v>
      </c>
      <c r="P115" s="455">
        <v>1</v>
      </c>
      <c r="Q115" s="455">
        <v>0</v>
      </c>
      <c r="R115" s="455">
        <v>0</v>
      </c>
      <c r="S115" s="457" t="s">
        <v>1159</v>
      </c>
      <c r="T115" s="455">
        <v>0</v>
      </c>
      <c r="U115" s="455">
        <v>0</v>
      </c>
      <c r="V115" s="457" t="s">
        <v>1159</v>
      </c>
      <c r="W115" s="455">
        <v>0</v>
      </c>
      <c r="X115" s="455">
        <v>0</v>
      </c>
      <c r="Y115" s="457" t="s">
        <v>1159</v>
      </c>
      <c r="Z115" s="455">
        <v>0</v>
      </c>
      <c r="AA115" s="455">
        <v>0</v>
      </c>
      <c r="AB115" s="457" t="s">
        <v>1159</v>
      </c>
      <c r="AC115" s="455">
        <v>0</v>
      </c>
      <c r="AD115" s="455">
        <v>0</v>
      </c>
      <c r="AE115" s="457" t="s">
        <v>1159</v>
      </c>
      <c r="AF115" s="455">
        <v>0</v>
      </c>
      <c r="AG115" s="455">
        <v>0</v>
      </c>
      <c r="AH115" s="455" t="s">
        <v>1159</v>
      </c>
      <c r="AI115" s="455">
        <v>0</v>
      </c>
      <c r="AJ115" s="455"/>
      <c r="AK115" s="455"/>
      <c r="AL115" s="455">
        <v>0</v>
      </c>
      <c r="AM115" s="455"/>
      <c r="AN115" s="455"/>
      <c r="AO115" s="455">
        <v>0</v>
      </c>
      <c r="AP115" s="455"/>
      <c r="AQ115" s="455"/>
      <c r="AR115" s="455">
        <v>0</v>
      </c>
      <c r="AS115" s="455"/>
      <c r="AT115" s="455"/>
      <c r="AU115" s="455">
        <v>0</v>
      </c>
      <c r="AV115" s="455"/>
      <c r="AW115" s="455"/>
      <c r="AX115" s="455">
        <v>1</v>
      </c>
      <c r="AY115" s="453"/>
      <c r="AZ115" s="453"/>
      <c r="BA115" s="453">
        <f t="shared" ref="BA115:BA136" si="5">+Q115+T115+W115+Z115+AC115+AF115</f>
        <v>0</v>
      </c>
      <c r="BB115" s="453">
        <f t="shared" ref="BB115:BB136" si="6">+R115+U115+X115+AA115+AD115+AG115</f>
        <v>0</v>
      </c>
      <c r="BC115" s="459" t="str">
        <f>+IF(BA115=0,+IF(BB115=0,"No programación, No avance",+IF(BB115&gt;0,+IF(BA115=0,BB115/P115))),BB115/BA115)</f>
        <v>No programación, No avance</v>
      </c>
    </row>
    <row r="116" spans="1:55" s="2" customFormat="1" ht="60" customHeight="1">
      <c r="A116" s="713"/>
      <c r="B116" s="750"/>
      <c r="C116" s="685"/>
      <c r="D116" s="455" t="s">
        <v>1161</v>
      </c>
      <c r="E116" s="455" t="s">
        <v>1162</v>
      </c>
      <c r="F116" s="455" t="s">
        <v>531</v>
      </c>
      <c r="G116" s="455">
        <v>0.04</v>
      </c>
      <c r="H116" s="455" t="s">
        <v>152</v>
      </c>
      <c r="I116" s="455" t="s">
        <v>73</v>
      </c>
      <c r="J116" s="455" t="s">
        <v>902</v>
      </c>
      <c r="K116" s="455" t="s">
        <v>1163</v>
      </c>
      <c r="L116" s="455" t="s">
        <v>1164</v>
      </c>
      <c r="M116" s="456">
        <v>44197</v>
      </c>
      <c r="N116" s="456">
        <v>44561</v>
      </c>
      <c r="O116" s="455">
        <f>+R116+U116+X116+AA116+AD116+AG116+AJ116+AM116+AP116+AS116+AV116+AY116</f>
        <v>0</v>
      </c>
      <c r="P116" s="455">
        <v>1</v>
      </c>
      <c r="Q116" s="455">
        <v>0</v>
      </c>
      <c r="R116" s="455">
        <v>0</v>
      </c>
      <c r="S116" s="457" t="s">
        <v>1097</v>
      </c>
      <c r="T116" s="455">
        <v>0</v>
      </c>
      <c r="U116" s="455">
        <v>0</v>
      </c>
      <c r="V116" s="457" t="s">
        <v>1098</v>
      </c>
      <c r="W116" s="455">
        <v>0</v>
      </c>
      <c r="X116" s="455">
        <v>0</v>
      </c>
      <c r="Y116" s="457" t="s">
        <v>1165</v>
      </c>
      <c r="Z116" s="455">
        <v>0</v>
      </c>
      <c r="AA116" s="474">
        <v>0</v>
      </c>
      <c r="AB116" s="475" t="s">
        <v>1166</v>
      </c>
      <c r="AC116" s="455">
        <v>0</v>
      </c>
      <c r="AD116" s="455">
        <v>0</v>
      </c>
      <c r="AE116" s="457" t="s">
        <v>1167</v>
      </c>
      <c r="AF116" s="455">
        <v>0</v>
      </c>
      <c r="AG116" s="455">
        <v>0</v>
      </c>
      <c r="AH116" s="455" t="s">
        <v>1168</v>
      </c>
      <c r="AI116" s="455">
        <v>0</v>
      </c>
      <c r="AJ116" s="455"/>
      <c r="AK116" s="455"/>
      <c r="AL116" s="455">
        <v>1</v>
      </c>
      <c r="AM116" s="455"/>
      <c r="AN116" s="455"/>
      <c r="AO116" s="455">
        <v>0</v>
      </c>
      <c r="AP116" s="455"/>
      <c r="AQ116" s="455"/>
      <c r="AR116" s="455">
        <v>0</v>
      </c>
      <c r="AS116" s="455"/>
      <c r="AT116" s="455"/>
      <c r="AU116" s="455">
        <v>0</v>
      </c>
      <c r="AV116" s="455"/>
      <c r="AW116" s="455"/>
      <c r="AX116" s="455">
        <v>0</v>
      </c>
      <c r="AY116" s="453"/>
      <c r="AZ116" s="453"/>
      <c r="BA116" s="453">
        <f t="shared" si="5"/>
        <v>0</v>
      </c>
      <c r="BB116" s="453">
        <f t="shared" si="6"/>
        <v>0</v>
      </c>
      <c r="BC116" s="459" t="str">
        <f>+IF(BA116=0,+IF(BB116=0,"No programación, No avance",+IF(BB116&gt;0,+IF(BA116=0,BB116/P116))),BB116/BA116)</f>
        <v>No programación, No avance</v>
      </c>
    </row>
    <row r="117" spans="1:55" s="2" customFormat="1" ht="60" customHeight="1">
      <c r="A117" s="713"/>
      <c r="B117" s="750"/>
      <c r="C117" s="685"/>
      <c r="D117" s="455" t="s">
        <v>1170</v>
      </c>
      <c r="E117" s="455" t="s">
        <v>1171</v>
      </c>
      <c r="F117" s="455" t="s">
        <v>531</v>
      </c>
      <c r="G117" s="455">
        <v>0.04</v>
      </c>
      <c r="H117" s="455" t="s">
        <v>152</v>
      </c>
      <c r="I117" s="455" t="s">
        <v>73</v>
      </c>
      <c r="J117" s="455" t="s">
        <v>72</v>
      </c>
      <c r="K117" s="455" t="s">
        <v>1172</v>
      </c>
      <c r="L117" s="455" t="s">
        <v>1164</v>
      </c>
      <c r="M117" s="456">
        <v>44197</v>
      </c>
      <c r="N117" s="456">
        <v>44561</v>
      </c>
      <c r="O117" s="455">
        <f>+R117+U117+X117+AA117+AD117+AG117+AJ117+AM117+AP117+AS117+AV117+AY117</f>
        <v>0</v>
      </c>
      <c r="P117" s="455">
        <v>170</v>
      </c>
      <c r="Q117" s="455">
        <v>0</v>
      </c>
      <c r="R117" s="455">
        <v>0</v>
      </c>
      <c r="S117" s="457" t="s">
        <v>1173</v>
      </c>
      <c r="T117" s="455">
        <v>0</v>
      </c>
      <c r="U117" s="455">
        <v>0</v>
      </c>
      <c r="V117" s="457" t="s">
        <v>1173</v>
      </c>
      <c r="W117" s="455">
        <v>0</v>
      </c>
      <c r="X117" s="455">
        <v>0</v>
      </c>
      <c r="Y117" s="457" t="s">
        <v>1173</v>
      </c>
      <c r="Z117" s="455">
        <v>0</v>
      </c>
      <c r="AA117" s="474">
        <v>0</v>
      </c>
      <c r="AB117" s="475" t="s">
        <v>1174</v>
      </c>
      <c r="AC117" s="455">
        <v>0</v>
      </c>
      <c r="AD117" s="455">
        <v>0</v>
      </c>
      <c r="AE117" s="457" t="s">
        <v>1175</v>
      </c>
      <c r="AF117" s="455">
        <v>0</v>
      </c>
      <c r="AG117" s="455">
        <v>0</v>
      </c>
      <c r="AH117" s="455" t="s">
        <v>1176</v>
      </c>
      <c r="AI117" s="455">
        <v>0</v>
      </c>
      <c r="AJ117" s="455"/>
      <c r="AK117" s="455"/>
      <c r="AL117" s="455">
        <v>0</v>
      </c>
      <c r="AM117" s="455"/>
      <c r="AN117" s="455"/>
      <c r="AO117" s="455">
        <v>0</v>
      </c>
      <c r="AP117" s="455"/>
      <c r="AQ117" s="455"/>
      <c r="AR117" s="455">
        <v>0</v>
      </c>
      <c r="AS117" s="455"/>
      <c r="AT117" s="455"/>
      <c r="AU117" s="455">
        <v>0</v>
      </c>
      <c r="AV117" s="455"/>
      <c r="AW117" s="455"/>
      <c r="AX117" s="455">
        <v>170</v>
      </c>
      <c r="AY117" s="453"/>
      <c r="AZ117" s="453"/>
      <c r="BA117" s="453">
        <f t="shared" si="5"/>
        <v>0</v>
      </c>
      <c r="BB117" s="453">
        <f t="shared" si="6"/>
        <v>0</v>
      </c>
      <c r="BC117" s="459" t="str">
        <f>+IF(BA117=0,+IF(BB117=0,"No programación, No avance",+IF(BB117&gt;0,+IF(BA117=0,BB117/P117))),BB117/BA117)</f>
        <v>No programación, No avance</v>
      </c>
    </row>
    <row r="118" spans="1:55" s="2" customFormat="1" ht="60" customHeight="1">
      <c r="A118" s="713"/>
      <c r="B118" s="750"/>
      <c r="C118" s="685"/>
      <c r="D118" s="455" t="s">
        <v>1178</v>
      </c>
      <c r="E118" s="455" t="s">
        <v>1179</v>
      </c>
      <c r="F118" s="455" t="s">
        <v>531</v>
      </c>
      <c r="G118" s="455">
        <v>0.04</v>
      </c>
      <c r="H118" s="455" t="s">
        <v>1180</v>
      </c>
      <c r="I118" s="455" t="s">
        <v>73</v>
      </c>
      <c r="J118" s="455" t="s">
        <v>72</v>
      </c>
      <c r="K118" s="455" t="s">
        <v>1150</v>
      </c>
      <c r="L118" s="455" t="s">
        <v>1164</v>
      </c>
      <c r="M118" s="456">
        <v>44197</v>
      </c>
      <c r="N118" s="456">
        <v>44561</v>
      </c>
      <c r="O118" s="455">
        <f>+R118+U118+X118+AA118+AD118+AG118+AJ118+AM118+AP118+AS118+AV118+AY118</f>
        <v>0</v>
      </c>
      <c r="P118" s="455">
        <v>1</v>
      </c>
      <c r="Q118" s="455">
        <v>0</v>
      </c>
      <c r="R118" s="455">
        <v>0</v>
      </c>
      <c r="S118" s="457" t="s">
        <v>1181</v>
      </c>
      <c r="T118" s="455">
        <v>0</v>
      </c>
      <c r="U118" s="455">
        <v>0</v>
      </c>
      <c r="V118" s="457" t="s">
        <v>1181</v>
      </c>
      <c r="W118" s="455">
        <v>0</v>
      </c>
      <c r="X118" s="455">
        <v>0</v>
      </c>
      <c r="Y118" s="457" t="s">
        <v>1182</v>
      </c>
      <c r="Z118" s="455">
        <v>0</v>
      </c>
      <c r="AA118" s="474">
        <v>0</v>
      </c>
      <c r="AB118" s="475" t="s">
        <v>1183</v>
      </c>
      <c r="AC118" s="455">
        <v>0</v>
      </c>
      <c r="AD118" s="455">
        <v>0</v>
      </c>
      <c r="AE118" s="457" t="s">
        <v>1184</v>
      </c>
      <c r="AF118" s="455">
        <v>0</v>
      </c>
      <c r="AG118" s="455">
        <v>0</v>
      </c>
      <c r="AH118" s="455" t="s">
        <v>1184</v>
      </c>
      <c r="AI118" s="455">
        <v>0</v>
      </c>
      <c r="AJ118" s="455"/>
      <c r="AK118" s="455"/>
      <c r="AL118" s="455">
        <v>0</v>
      </c>
      <c r="AM118" s="455"/>
      <c r="AN118" s="455"/>
      <c r="AO118" s="455">
        <v>0</v>
      </c>
      <c r="AP118" s="455"/>
      <c r="AQ118" s="455"/>
      <c r="AR118" s="455">
        <v>1</v>
      </c>
      <c r="AS118" s="455"/>
      <c r="AT118" s="455"/>
      <c r="AU118" s="455">
        <v>0</v>
      </c>
      <c r="AV118" s="455"/>
      <c r="AW118" s="455"/>
      <c r="AX118" s="455">
        <v>0</v>
      </c>
      <c r="AY118" s="453"/>
      <c r="AZ118" s="453"/>
      <c r="BA118" s="453">
        <f t="shared" si="5"/>
        <v>0</v>
      </c>
      <c r="BB118" s="453">
        <f t="shared" si="6"/>
        <v>0</v>
      </c>
      <c r="BC118" s="459" t="str">
        <f>+IF(BA118=0,+IF(BB118=0,"No programación, No avance",+IF(BB118&gt;0,+IF(BA118=0,BB118/P118))),BB118/BA118)</f>
        <v>No programación, No avance</v>
      </c>
    </row>
    <row r="119" spans="1:55" s="2" customFormat="1" ht="60" customHeight="1">
      <c r="A119" s="713"/>
      <c r="B119" s="750"/>
      <c r="C119" s="685"/>
      <c r="D119" s="455" t="s">
        <v>1186</v>
      </c>
      <c r="E119" s="455" t="s">
        <v>1187</v>
      </c>
      <c r="F119" s="455" t="s">
        <v>472</v>
      </c>
      <c r="G119" s="455">
        <v>0.02</v>
      </c>
      <c r="H119" s="455" t="s">
        <v>1110</v>
      </c>
      <c r="I119" s="455" t="s">
        <v>73</v>
      </c>
      <c r="J119" s="455" t="s">
        <v>72</v>
      </c>
      <c r="K119" s="455" t="s">
        <v>1150</v>
      </c>
      <c r="L119" s="455" t="s">
        <v>1164</v>
      </c>
      <c r="M119" s="456">
        <v>44197</v>
      </c>
      <c r="N119" s="456">
        <v>44561</v>
      </c>
      <c r="O119" s="455">
        <f>+R119+U119+X119+AA119+AD119+AG119+AJ119+AM119+AP119+AS119+AV119+AY119</f>
        <v>0</v>
      </c>
      <c r="P119" s="455">
        <v>1</v>
      </c>
      <c r="Q119" s="455">
        <v>0</v>
      </c>
      <c r="R119" s="455">
        <v>0</v>
      </c>
      <c r="S119" s="457" t="s">
        <v>1097</v>
      </c>
      <c r="T119" s="455">
        <v>0</v>
      </c>
      <c r="U119" s="455">
        <v>0</v>
      </c>
      <c r="V119" s="457" t="s">
        <v>1098</v>
      </c>
      <c r="W119" s="455">
        <v>0</v>
      </c>
      <c r="X119" s="455">
        <v>0</v>
      </c>
      <c r="Y119" s="457" t="s">
        <v>1165</v>
      </c>
      <c r="Z119" s="455">
        <v>0</v>
      </c>
      <c r="AA119" s="474">
        <v>0</v>
      </c>
      <c r="AB119" s="475" t="s">
        <v>1166</v>
      </c>
      <c r="AC119" s="455">
        <v>0</v>
      </c>
      <c r="AD119" s="455">
        <v>0</v>
      </c>
      <c r="AE119" s="457" t="s">
        <v>1167</v>
      </c>
      <c r="AF119" s="455">
        <v>0</v>
      </c>
      <c r="AG119" s="455">
        <v>0</v>
      </c>
      <c r="AH119" s="455" t="s">
        <v>1168</v>
      </c>
      <c r="AI119" s="455">
        <v>0</v>
      </c>
      <c r="AJ119" s="455"/>
      <c r="AK119" s="455"/>
      <c r="AL119" s="455">
        <v>0</v>
      </c>
      <c r="AM119" s="455"/>
      <c r="AN119" s="455"/>
      <c r="AO119" s="455">
        <v>0</v>
      </c>
      <c r="AP119" s="455"/>
      <c r="AQ119" s="455"/>
      <c r="AR119" s="455">
        <v>0</v>
      </c>
      <c r="AS119" s="455"/>
      <c r="AT119" s="455"/>
      <c r="AU119" s="455">
        <v>0</v>
      </c>
      <c r="AV119" s="455"/>
      <c r="AW119" s="455"/>
      <c r="AX119" s="455">
        <v>1</v>
      </c>
      <c r="AY119" s="453"/>
      <c r="AZ119" s="453"/>
      <c r="BA119" s="453">
        <f t="shared" si="5"/>
        <v>0</v>
      </c>
      <c r="BB119" s="453">
        <f t="shared" si="6"/>
        <v>0</v>
      </c>
      <c r="BC119" s="459" t="str">
        <f>+IF(BA119=0,+IF(BB119=0,"No programación, No avance",+IF(BB119&gt;0,+IF(BA119=0,BB119/P119))),BB119/BA119)</f>
        <v>No programación, No avance</v>
      </c>
    </row>
    <row r="120" spans="1:55" s="2" customFormat="1" ht="57" customHeight="1">
      <c r="A120" s="713"/>
      <c r="B120" s="750"/>
      <c r="C120" s="685"/>
      <c r="D120" s="685" t="s">
        <v>2863</v>
      </c>
      <c r="E120" s="455" t="s">
        <v>1190</v>
      </c>
      <c r="F120" s="455" t="s">
        <v>472</v>
      </c>
      <c r="G120" s="455">
        <v>0.03</v>
      </c>
      <c r="H120" s="455" t="s">
        <v>152</v>
      </c>
      <c r="I120" s="455" t="s">
        <v>73</v>
      </c>
      <c r="J120" s="455" t="s">
        <v>72</v>
      </c>
      <c r="K120" s="455" t="s">
        <v>1150</v>
      </c>
      <c r="L120" s="455" t="s">
        <v>1191</v>
      </c>
      <c r="M120" s="456">
        <v>44197</v>
      </c>
      <c r="N120" s="456">
        <v>44561</v>
      </c>
      <c r="O120" s="455">
        <f>+R120+U120+X120+AA120+AD120+AG120+AJ120+AM120+AP120+AS120+AV120+AY120</f>
        <v>0</v>
      </c>
      <c r="P120" s="455">
        <v>1</v>
      </c>
      <c r="Q120" s="455">
        <v>0</v>
      </c>
      <c r="R120" s="455">
        <v>0</v>
      </c>
      <c r="S120" s="457" t="s">
        <v>1192</v>
      </c>
      <c r="T120" s="455">
        <v>0</v>
      </c>
      <c r="U120" s="455">
        <v>0</v>
      </c>
      <c r="V120" s="457" t="s">
        <v>1193</v>
      </c>
      <c r="W120" s="455">
        <v>0</v>
      </c>
      <c r="X120" s="455">
        <v>0</v>
      </c>
      <c r="Y120" s="457" t="s">
        <v>1194</v>
      </c>
      <c r="Z120" s="455">
        <v>0</v>
      </c>
      <c r="AA120" s="455">
        <v>0</v>
      </c>
      <c r="AB120" s="457" t="s">
        <v>1195</v>
      </c>
      <c r="AC120" s="455">
        <v>0</v>
      </c>
      <c r="AD120" s="455">
        <v>0</v>
      </c>
      <c r="AE120" s="457" t="s">
        <v>1196</v>
      </c>
      <c r="AF120" s="455">
        <v>0</v>
      </c>
      <c r="AG120" s="455">
        <v>0</v>
      </c>
      <c r="AH120" s="455" t="s">
        <v>1197</v>
      </c>
      <c r="AI120" s="455">
        <v>0</v>
      </c>
      <c r="AJ120" s="455"/>
      <c r="AK120" s="455"/>
      <c r="AL120" s="455">
        <v>0</v>
      </c>
      <c r="AM120" s="455"/>
      <c r="AN120" s="455"/>
      <c r="AO120" s="455">
        <v>0</v>
      </c>
      <c r="AP120" s="455"/>
      <c r="AQ120" s="455"/>
      <c r="AR120" s="455">
        <v>0</v>
      </c>
      <c r="AS120" s="455"/>
      <c r="AT120" s="455"/>
      <c r="AU120" s="455">
        <v>0</v>
      </c>
      <c r="AV120" s="455"/>
      <c r="AW120" s="455"/>
      <c r="AX120" s="455">
        <v>1</v>
      </c>
      <c r="AY120" s="453"/>
      <c r="AZ120" s="453"/>
      <c r="BA120" s="453">
        <f t="shared" si="5"/>
        <v>0</v>
      </c>
      <c r="BB120" s="453">
        <f t="shared" si="6"/>
        <v>0</v>
      </c>
      <c r="BC120" s="459" t="str">
        <f>+IF(BA120=0,+IF(BB120=0,"No programación, No avance",+IF(BB120&gt;0,+IF(BA120=0,BB120/P120))),BB120/BA120)</f>
        <v>No programación, No avance</v>
      </c>
    </row>
    <row r="121" spans="1:55" s="2" customFormat="1" ht="57" customHeight="1">
      <c r="A121" s="713"/>
      <c r="B121" s="750"/>
      <c r="C121" s="685"/>
      <c r="D121" s="685"/>
      <c r="E121" s="455" t="s">
        <v>1199</v>
      </c>
      <c r="F121" s="455" t="s">
        <v>531</v>
      </c>
      <c r="G121" s="455">
        <v>0.01</v>
      </c>
      <c r="H121" s="455" t="s">
        <v>152</v>
      </c>
      <c r="I121" s="455" t="s">
        <v>73</v>
      </c>
      <c r="J121" s="455" t="s">
        <v>72</v>
      </c>
      <c r="K121" s="455" t="s">
        <v>1150</v>
      </c>
      <c r="L121" s="455" t="s">
        <v>1191</v>
      </c>
      <c r="M121" s="456">
        <v>44197</v>
      </c>
      <c r="N121" s="456">
        <v>44561</v>
      </c>
      <c r="O121" s="455">
        <f>+R121+U121+X121+AA121+AD121+AG121+AJ121+AM121+AP121+AS121+AV121+AY121</f>
        <v>0</v>
      </c>
      <c r="P121" s="455">
        <v>1</v>
      </c>
      <c r="Q121" s="455">
        <v>0</v>
      </c>
      <c r="R121" s="455">
        <v>0</v>
      </c>
      <c r="S121" s="457" t="s">
        <v>1200</v>
      </c>
      <c r="T121" s="455">
        <v>0</v>
      </c>
      <c r="U121" s="455">
        <v>0</v>
      </c>
      <c r="V121" s="457" t="s">
        <v>1200</v>
      </c>
      <c r="W121" s="455">
        <v>0</v>
      </c>
      <c r="X121" s="455">
        <v>0</v>
      </c>
      <c r="Y121" s="457" t="s">
        <v>1200</v>
      </c>
      <c r="Z121" s="455">
        <v>0</v>
      </c>
      <c r="AA121" s="455">
        <v>0</v>
      </c>
      <c r="AB121" s="457" t="s">
        <v>1200</v>
      </c>
      <c r="AC121" s="455">
        <v>0</v>
      </c>
      <c r="AD121" s="455">
        <v>0</v>
      </c>
      <c r="AE121" s="457" t="s">
        <v>1201</v>
      </c>
      <c r="AF121" s="455">
        <v>0</v>
      </c>
      <c r="AG121" s="455">
        <v>0</v>
      </c>
      <c r="AH121" s="455" t="s">
        <v>1201</v>
      </c>
      <c r="AI121" s="455">
        <v>0</v>
      </c>
      <c r="AJ121" s="455"/>
      <c r="AK121" s="455"/>
      <c r="AL121" s="455">
        <v>0</v>
      </c>
      <c r="AM121" s="455"/>
      <c r="AN121" s="455"/>
      <c r="AO121" s="455">
        <v>0</v>
      </c>
      <c r="AP121" s="455"/>
      <c r="AQ121" s="455"/>
      <c r="AR121" s="455">
        <v>0</v>
      </c>
      <c r="AS121" s="455"/>
      <c r="AT121" s="455"/>
      <c r="AU121" s="455">
        <v>0</v>
      </c>
      <c r="AV121" s="455"/>
      <c r="AW121" s="455"/>
      <c r="AX121" s="455">
        <v>1</v>
      </c>
      <c r="AY121" s="453"/>
      <c r="AZ121" s="453"/>
      <c r="BA121" s="453">
        <f t="shared" si="5"/>
        <v>0</v>
      </c>
      <c r="BB121" s="453">
        <f t="shared" si="6"/>
        <v>0</v>
      </c>
      <c r="BC121" s="459" t="str">
        <f>+IF(BA121=0,+IF(BB121=0,"No programación, No avance",+IF(BB121&gt;0,+IF(BA121=0,BB121/P121))),BB121/BA121)</f>
        <v>No programación, No avance</v>
      </c>
    </row>
    <row r="122" spans="1:55" s="2" customFormat="1" ht="60" customHeight="1">
      <c r="A122" s="713"/>
      <c r="B122" s="750"/>
      <c r="C122" s="685" t="s">
        <v>161</v>
      </c>
      <c r="D122" s="685" t="s">
        <v>162</v>
      </c>
      <c r="E122" s="455" t="s">
        <v>1203</v>
      </c>
      <c r="F122" s="455" t="s">
        <v>531</v>
      </c>
      <c r="G122" s="455">
        <v>0.5</v>
      </c>
      <c r="H122" s="455"/>
      <c r="I122" s="455" t="s">
        <v>73</v>
      </c>
      <c r="J122" s="455" t="s">
        <v>72</v>
      </c>
      <c r="K122" s="455" t="s">
        <v>1150</v>
      </c>
      <c r="L122" s="455" t="s">
        <v>1191</v>
      </c>
      <c r="M122" s="456">
        <v>44197</v>
      </c>
      <c r="N122" s="456">
        <v>44561</v>
      </c>
      <c r="O122" s="455"/>
      <c r="P122" s="455">
        <v>1</v>
      </c>
      <c r="Q122" s="455">
        <v>0</v>
      </c>
      <c r="R122" s="455">
        <v>0</v>
      </c>
      <c r="S122" s="455" t="s">
        <v>1119</v>
      </c>
      <c r="T122" s="455">
        <v>0</v>
      </c>
      <c r="U122" s="455">
        <v>0</v>
      </c>
      <c r="V122" s="455" t="s">
        <v>1204</v>
      </c>
      <c r="W122" s="455">
        <v>0</v>
      </c>
      <c r="X122" s="455">
        <v>0</v>
      </c>
      <c r="Y122" s="457" t="s">
        <v>1120</v>
      </c>
      <c r="Z122" s="455">
        <v>1</v>
      </c>
      <c r="AA122" s="455">
        <v>1</v>
      </c>
      <c r="AB122" s="457" t="s">
        <v>1121</v>
      </c>
      <c r="AC122" s="455">
        <v>0</v>
      </c>
      <c r="AD122" s="455">
        <v>0</v>
      </c>
      <c r="AE122" s="457" t="s">
        <v>1205</v>
      </c>
      <c r="AF122" s="455">
        <v>0</v>
      </c>
      <c r="AG122" s="455">
        <v>0</v>
      </c>
      <c r="AH122" s="455" t="s">
        <v>1114</v>
      </c>
      <c r="AI122" s="455">
        <v>0</v>
      </c>
      <c r="AJ122" s="455"/>
      <c r="AK122" s="455"/>
      <c r="AL122" s="455">
        <v>0</v>
      </c>
      <c r="AM122" s="455"/>
      <c r="AN122" s="455"/>
      <c r="AO122" s="455">
        <v>0</v>
      </c>
      <c r="AP122" s="455"/>
      <c r="AQ122" s="455"/>
      <c r="AR122" s="455">
        <v>0</v>
      </c>
      <c r="AS122" s="455"/>
      <c r="AT122" s="455"/>
      <c r="AU122" s="455">
        <v>0</v>
      </c>
      <c r="AV122" s="455"/>
      <c r="AW122" s="455"/>
      <c r="AX122" s="455">
        <v>0</v>
      </c>
      <c r="AY122" s="453"/>
      <c r="AZ122" s="453"/>
      <c r="BA122" s="453">
        <f t="shared" si="5"/>
        <v>1</v>
      </c>
      <c r="BB122" s="453">
        <f t="shared" si="6"/>
        <v>1</v>
      </c>
      <c r="BC122" s="459">
        <f>+IF(BA122=0,+IF(BB122=0,"No programación, No avance",+IF(BB122&gt;0,+IF(BA122=0,BB122/P122))),BB122/BA122)</f>
        <v>1</v>
      </c>
    </row>
    <row r="123" spans="1:55" s="2" customFormat="1" ht="60" customHeight="1">
      <c r="A123" s="713"/>
      <c r="B123" s="750"/>
      <c r="C123" s="685"/>
      <c r="D123" s="685"/>
      <c r="E123" s="455" t="s">
        <v>1207</v>
      </c>
      <c r="F123" s="455" t="s">
        <v>531</v>
      </c>
      <c r="G123" s="455">
        <v>0.5</v>
      </c>
      <c r="H123" s="455"/>
      <c r="I123" s="455" t="s">
        <v>73</v>
      </c>
      <c r="J123" s="455" t="s">
        <v>72</v>
      </c>
      <c r="K123" s="455" t="s">
        <v>1150</v>
      </c>
      <c r="L123" s="455" t="s">
        <v>1191</v>
      </c>
      <c r="M123" s="456">
        <v>44197</v>
      </c>
      <c r="N123" s="456">
        <v>44561</v>
      </c>
      <c r="O123" s="455"/>
      <c r="P123" s="455">
        <v>1</v>
      </c>
      <c r="Q123" s="455">
        <v>0</v>
      </c>
      <c r="R123" s="455">
        <v>0</v>
      </c>
      <c r="S123" s="455" t="s">
        <v>1208</v>
      </c>
      <c r="T123" s="455">
        <v>0</v>
      </c>
      <c r="U123" s="455">
        <v>0</v>
      </c>
      <c r="V123" s="455" t="s">
        <v>1209</v>
      </c>
      <c r="W123" s="455">
        <v>0</v>
      </c>
      <c r="X123" s="455">
        <v>0</v>
      </c>
      <c r="Y123" s="457" t="s">
        <v>1165</v>
      </c>
      <c r="Z123" s="455">
        <v>0</v>
      </c>
      <c r="AA123" s="455">
        <v>0</v>
      </c>
      <c r="AB123" s="457" t="s">
        <v>1166</v>
      </c>
      <c r="AC123" s="455">
        <v>0</v>
      </c>
      <c r="AD123" s="455">
        <v>0</v>
      </c>
      <c r="AE123" s="457" t="s">
        <v>1167</v>
      </c>
      <c r="AF123" s="455">
        <v>0</v>
      </c>
      <c r="AG123" s="455">
        <v>0</v>
      </c>
      <c r="AH123" s="455" t="s">
        <v>1210</v>
      </c>
      <c r="AI123" s="455">
        <v>0</v>
      </c>
      <c r="AJ123" s="455"/>
      <c r="AK123" s="455"/>
      <c r="AL123" s="455">
        <v>0</v>
      </c>
      <c r="AM123" s="455"/>
      <c r="AN123" s="455"/>
      <c r="AO123" s="455">
        <v>1</v>
      </c>
      <c r="AP123" s="455"/>
      <c r="AQ123" s="455"/>
      <c r="AR123" s="455">
        <v>0</v>
      </c>
      <c r="AS123" s="455"/>
      <c r="AT123" s="455"/>
      <c r="AU123" s="455">
        <v>0</v>
      </c>
      <c r="AV123" s="455"/>
      <c r="AW123" s="455"/>
      <c r="AX123" s="455">
        <v>0</v>
      </c>
      <c r="AY123" s="453"/>
      <c r="AZ123" s="453"/>
      <c r="BA123" s="453">
        <f t="shared" si="5"/>
        <v>0</v>
      </c>
      <c r="BB123" s="453">
        <f t="shared" si="6"/>
        <v>0</v>
      </c>
      <c r="BC123" s="459" t="str">
        <f>+IF(BA123=0,+IF(BB123=0,"No programación, No avance",+IF(BB123&gt;0,+IF(BA123=0,BB123/P123))),BB123/BA123)</f>
        <v>No programación, No avance</v>
      </c>
    </row>
    <row r="124" spans="1:55" s="2" customFormat="1" ht="60" customHeight="1">
      <c r="A124" s="713"/>
      <c r="B124" s="750"/>
      <c r="C124" s="685" t="s">
        <v>165</v>
      </c>
      <c r="D124" s="711" t="s">
        <v>166</v>
      </c>
      <c r="E124" s="455" t="s">
        <v>1212</v>
      </c>
      <c r="F124" s="455" t="s">
        <v>472</v>
      </c>
      <c r="G124" s="455">
        <v>0.05</v>
      </c>
      <c r="H124" s="455" t="s">
        <v>163</v>
      </c>
      <c r="I124" s="455" t="s">
        <v>73</v>
      </c>
      <c r="J124" s="455" t="s">
        <v>72</v>
      </c>
      <c r="K124" s="455" t="s">
        <v>1150</v>
      </c>
      <c r="L124" s="455" t="s">
        <v>1213</v>
      </c>
      <c r="M124" s="456">
        <v>44197</v>
      </c>
      <c r="N124" s="456">
        <v>44561</v>
      </c>
      <c r="O124" s="455">
        <f>+R124+U124+X124+AA124+AD124+AG124+AJ124+AM124+AP124+AS124+AV124+AY124</f>
        <v>2</v>
      </c>
      <c r="P124" s="455">
        <v>4</v>
      </c>
      <c r="Q124" s="455">
        <v>0</v>
      </c>
      <c r="R124" s="455">
        <v>0</v>
      </c>
      <c r="S124" s="457" t="s">
        <v>1214</v>
      </c>
      <c r="T124" s="455">
        <v>0</v>
      </c>
      <c r="U124" s="455">
        <v>0</v>
      </c>
      <c r="V124" s="457" t="s">
        <v>1215</v>
      </c>
      <c r="W124" s="455">
        <v>1</v>
      </c>
      <c r="X124" s="455">
        <v>0</v>
      </c>
      <c r="Y124" s="457" t="s">
        <v>1216</v>
      </c>
      <c r="Z124" s="455">
        <v>0</v>
      </c>
      <c r="AA124" s="474">
        <v>1</v>
      </c>
      <c r="AB124" s="475" t="s">
        <v>1217</v>
      </c>
      <c r="AC124" s="455">
        <v>0</v>
      </c>
      <c r="AD124" s="455">
        <v>0</v>
      </c>
      <c r="AE124" s="457" t="s">
        <v>1218</v>
      </c>
      <c r="AF124" s="455">
        <v>1</v>
      </c>
      <c r="AG124" s="455">
        <v>1</v>
      </c>
      <c r="AH124" s="463" t="s">
        <v>1219</v>
      </c>
      <c r="AI124" s="455">
        <v>0</v>
      </c>
      <c r="AJ124" s="455"/>
      <c r="AK124" s="455"/>
      <c r="AL124" s="455">
        <v>0</v>
      </c>
      <c r="AM124" s="455"/>
      <c r="AN124" s="455"/>
      <c r="AO124" s="455">
        <v>1</v>
      </c>
      <c r="AP124" s="455"/>
      <c r="AQ124" s="455"/>
      <c r="AR124" s="455">
        <v>0</v>
      </c>
      <c r="AS124" s="455"/>
      <c r="AT124" s="455"/>
      <c r="AU124" s="455">
        <v>0</v>
      </c>
      <c r="AV124" s="455"/>
      <c r="AW124" s="455"/>
      <c r="AX124" s="455">
        <v>1</v>
      </c>
      <c r="AY124" s="453"/>
      <c r="AZ124" s="453"/>
      <c r="BA124" s="453">
        <f t="shared" si="5"/>
        <v>2</v>
      </c>
      <c r="BB124" s="453">
        <f t="shared" si="6"/>
        <v>2</v>
      </c>
      <c r="BC124" s="459">
        <f>+IF(BA124=0,+IF(BB124=0,"No programación, No avance",+IF(BB124&gt;0,+IF(BA124=0,BB124/P124))),BB124/BA124)</f>
        <v>1</v>
      </c>
    </row>
    <row r="125" spans="1:55" s="2" customFormat="1" ht="77.25" customHeight="1">
      <c r="A125" s="713"/>
      <c r="B125" s="750"/>
      <c r="C125" s="685"/>
      <c r="D125" s="711"/>
      <c r="E125" s="455" t="s">
        <v>1221</v>
      </c>
      <c r="F125" s="455" t="s">
        <v>472</v>
      </c>
      <c r="G125" s="455">
        <v>0.05</v>
      </c>
      <c r="H125" s="455" t="s">
        <v>163</v>
      </c>
      <c r="I125" s="455" t="s">
        <v>73</v>
      </c>
      <c r="J125" s="455" t="s">
        <v>72</v>
      </c>
      <c r="K125" s="455" t="s">
        <v>1150</v>
      </c>
      <c r="L125" s="455" t="s">
        <v>1222</v>
      </c>
      <c r="M125" s="456">
        <v>44197</v>
      </c>
      <c r="N125" s="456">
        <v>44561</v>
      </c>
      <c r="O125" s="455">
        <f>+R125+U125+X125+AA125+AD125+AG125+AJ125+AM125+AP125+AS125+AV125+AY125</f>
        <v>1</v>
      </c>
      <c r="P125" s="455">
        <v>1</v>
      </c>
      <c r="Q125" s="455">
        <v>0</v>
      </c>
      <c r="R125" s="455">
        <v>0</v>
      </c>
      <c r="S125" s="455" t="s">
        <v>1223</v>
      </c>
      <c r="T125" s="455">
        <v>1</v>
      </c>
      <c r="U125" s="455">
        <v>1</v>
      </c>
      <c r="V125" s="455" t="s">
        <v>1224</v>
      </c>
      <c r="W125" s="455">
        <v>0</v>
      </c>
      <c r="X125" s="455">
        <v>0</v>
      </c>
      <c r="Y125" s="457" t="s">
        <v>1225</v>
      </c>
      <c r="Z125" s="455">
        <v>0</v>
      </c>
      <c r="AA125" s="474">
        <v>0</v>
      </c>
      <c r="AB125" s="475" t="s">
        <v>1226</v>
      </c>
      <c r="AC125" s="455">
        <v>0</v>
      </c>
      <c r="AD125" s="455">
        <v>0</v>
      </c>
      <c r="AE125" s="457" t="s">
        <v>1227</v>
      </c>
      <c r="AF125" s="455">
        <v>0</v>
      </c>
      <c r="AG125" s="455">
        <v>0</v>
      </c>
      <c r="AH125" s="463" t="s">
        <v>1228</v>
      </c>
      <c r="AI125" s="455">
        <v>0</v>
      </c>
      <c r="AJ125" s="455"/>
      <c r="AK125" s="455"/>
      <c r="AL125" s="455">
        <v>0</v>
      </c>
      <c r="AM125" s="455"/>
      <c r="AN125" s="455"/>
      <c r="AO125" s="455">
        <v>0</v>
      </c>
      <c r="AP125" s="455"/>
      <c r="AQ125" s="455"/>
      <c r="AR125" s="455">
        <v>0</v>
      </c>
      <c r="AS125" s="455"/>
      <c r="AT125" s="455"/>
      <c r="AU125" s="455">
        <v>0</v>
      </c>
      <c r="AV125" s="455"/>
      <c r="AW125" s="455"/>
      <c r="AX125" s="455">
        <v>1</v>
      </c>
      <c r="AY125" s="453"/>
      <c r="AZ125" s="453"/>
      <c r="BA125" s="453">
        <f t="shared" si="5"/>
        <v>1</v>
      </c>
      <c r="BB125" s="453">
        <f t="shared" si="6"/>
        <v>1</v>
      </c>
      <c r="BC125" s="459">
        <f>+IF(BA125=0,+IF(BB125=0,"No programación, No avance",+IF(BB125&gt;0,+IF(BA125=0,BB125/P125))),BB125/BA125)</f>
        <v>1</v>
      </c>
    </row>
    <row r="126" spans="1:55" s="2" customFormat="1" ht="96">
      <c r="A126" s="713"/>
      <c r="B126" s="750"/>
      <c r="C126" s="685"/>
      <c r="D126" s="685" t="s">
        <v>1230</v>
      </c>
      <c r="E126" s="455" t="s">
        <v>1231</v>
      </c>
      <c r="F126" s="455" t="s">
        <v>531</v>
      </c>
      <c r="G126" s="455">
        <v>0.03</v>
      </c>
      <c r="H126" s="455" t="s">
        <v>163</v>
      </c>
      <c r="I126" s="455" t="s">
        <v>73</v>
      </c>
      <c r="J126" s="455" t="s">
        <v>72</v>
      </c>
      <c r="K126" s="455" t="s">
        <v>1150</v>
      </c>
      <c r="L126" s="455" t="s">
        <v>1232</v>
      </c>
      <c r="M126" s="456">
        <v>44197</v>
      </c>
      <c r="N126" s="456">
        <v>44561</v>
      </c>
      <c r="O126" s="455">
        <f>+R126+U126+X126+AA126+AD126+AG126+AJ126+AM126+AP126+AS126+AV126+AY126</f>
        <v>6</v>
      </c>
      <c r="P126" s="455">
        <v>11</v>
      </c>
      <c r="Q126" s="455">
        <v>1</v>
      </c>
      <c r="R126" s="455">
        <v>1</v>
      </c>
      <c r="S126" s="457" t="s">
        <v>1233</v>
      </c>
      <c r="T126" s="455">
        <v>1</v>
      </c>
      <c r="U126" s="455">
        <v>1</v>
      </c>
      <c r="V126" s="455" t="s">
        <v>1224</v>
      </c>
      <c r="W126" s="455">
        <v>1</v>
      </c>
      <c r="X126" s="455">
        <v>1</v>
      </c>
      <c r="Y126" s="457" t="s">
        <v>1234</v>
      </c>
      <c r="Z126" s="455">
        <v>1</v>
      </c>
      <c r="AA126" s="474">
        <v>1</v>
      </c>
      <c r="AB126" s="475" t="s">
        <v>1235</v>
      </c>
      <c r="AC126" s="455">
        <v>1</v>
      </c>
      <c r="AD126" s="455">
        <v>1</v>
      </c>
      <c r="AE126" s="457" t="s">
        <v>1236</v>
      </c>
      <c r="AF126" s="455">
        <v>1</v>
      </c>
      <c r="AG126" s="455">
        <v>1</v>
      </c>
      <c r="AH126" s="463" t="s">
        <v>1236</v>
      </c>
      <c r="AI126" s="455">
        <v>1</v>
      </c>
      <c r="AJ126" s="455"/>
      <c r="AK126" s="455"/>
      <c r="AL126" s="455">
        <v>1</v>
      </c>
      <c r="AM126" s="455"/>
      <c r="AN126" s="455"/>
      <c r="AO126" s="455">
        <v>1</v>
      </c>
      <c r="AP126" s="455"/>
      <c r="AQ126" s="455"/>
      <c r="AR126" s="455">
        <v>1</v>
      </c>
      <c r="AS126" s="455"/>
      <c r="AT126" s="455"/>
      <c r="AU126" s="455">
        <v>1</v>
      </c>
      <c r="AV126" s="455"/>
      <c r="AW126" s="455"/>
      <c r="AX126" s="455">
        <v>0</v>
      </c>
      <c r="AY126" s="453"/>
      <c r="AZ126" s="453"/>
      <c r="BA126" s="453">
        <f t="shared" si="5"/>
        <v>6</v>
      </c>
      <c r="BB126" s="453">
        <f t="shared" si="6"/>
        <v>6</v>
      </c>
      <c r="BC126" s="459">
        <f>+IF(BA126=0,+IF(BB126=0,"No programación, No avance",+IF(BB126&gt;0,+IF(BA126=0,BB126/P126))),BB126/BA126)</f>
        <v>1</v>
      </c>
    </row>
    <row r="127" spans="1:55" s="2" customFormat="1" ht="132">
      <c r="A127" s="713"/>
      <c r="B127" s="750"/>
      <c r="C127" s="685"/>
      <c r="D127" s="685"/>
      <c r="E127" s="455" t="s">
        <v>1238</v>
      </c>
      <c r="F127" s="455" t="s">
        <v>531</v>
      </c>
      <c r="G127" s="455">
        <v>0.97</v>
      </c>
      <c r="H127" s="455"/>
      <c r="I127" s="455" t="s">
        <v>73</v>
      </c>
      <c r="J127" s="455" t="s">
        <v>72</v>
      </c>
      <c r="K127" s="455" t="s">
        <v>1150</v>
      </c>
      <c r="L127" s="455" t="s">
        <v>1232</v>
      </c>
      <c r="M127" s="456">
        <v>44197</v>
      </c>
      <c r="N127" s="456">
        <v>44561</v>
      </c>
      <c r="O127" s="455"/>
      <c r="P127" s="455">
        <v>1</v>
      </c>
      <c r="Q127" s="455">
        <v>0</v>
      </c>
      <c r="R127" s="455">
        <v>0</v>
      </c>
      <c r="S127" s="455" t="s">
        <v>1239</v>
      </c>
      <c r="T127" s="455">
        <v>0</v>
      </c>
      <c r="U127" s="455">
        <v>0</v>
      </c>
      <c r="V127" s="455" t="s">
        <v>1240</v>
      </c>
      <c r="W127" s="455">
        <v>0</v>
      </c>
      <c r="X127" s="455">
        <v>0</v>
      </c>
      <c r="Y127" s="457" t="s">
        <v>1241</v>
      </c>
      <c r="Z127" s="455">
        <v>0</v>
      </c>
      <c r="AA127" s="455">
        <v>0</v>
      </c>
      <c r="AB127" s="457" t="s">
        <v>1242</v>
      </c>
      <c r="AC127" s="455">
        <v>0</v>
      </c>
      <c r="AD127" s="455">
        <v>0</v>
      </c>
      <c r="AE127" s="457" t="s">
        <v>1243</v>
      </c>
      <c r="AF127" s="455">
        <v>0</v>
      </c>
      <c r="AG127" s="455">
        <v>0</v>
      </c>
      <c r="AH127" s="463" t="s">
        <v>1244</v>
      </c>
      <c r="AI127" s="455">
        <v>0</v>
      </c>
      <c r="AJ127" s="455"/>
      <c r="AK127" s="455"/>
      <c r="AL127" s="455">
        <v>0</v>
      </c>
      <c r="AM127" s="455"/>
      <c r="AN127" s="455"/>
      <c r="AO127" s="455">
        <v>0</v>
      </c>
      <c r="AP127" s="455"/>
      <c r="AQ127" s="455"/>
      <c r="AR127" s="455">
        <v>0</v>
      </c>
      <c r="AS127" s="455"/>
      <c r="AT127" s="455"/>
      <c r="AU127" s="455">
        <v>0</v>
      </c>
      <c r="AV127" s="455"/>
      <c r="AW127" s="455"/>
      <c r="AX127" s="455">
        <v>1</v>
      </c>
      <c r="AY127" s="453"/>
      <c r="AZ127" s="453"/>
      <c r="BA127" s="453">
        <f t="shared" si="5"/>
        <v>0</v>
      </c>
      <c r="BB127" s="453">
        <f t="shared" si="6"/>
        <v>0</v>
      </c>
      <c r="BC127" s="459" t="str">
        <f>+IF(BA127=0,+IF(BB127=0,"No programación, No avance",+IF(BB127&gt;0,+IF(BA127=0,BB127/P127))),BB127/BA127)</f>
        <v>No programación, No avance</v>
      </c>
    </row>
    <row r="128" spans="1:55" s="2" customFormat="1" ht="60" customHeight="1">
      <c r="A128" s="713"/>
      <c r="B128" s="750"/>
      <c r="C128" s="685"/>
      <c r="D128" s="455" t="s">
        <v>1246</v>
      </c>
      <c r="E128" s="455" t="s">
        <v>1247</v>
      </c>
      <c r="F128" s="455" t="s">
        <v>472</v>
      </c>
      <c r="G128" s="455">
        <v>0.02</v>
      </c>
      <c r="H128" s="455" t="s">
        <v>163</v>
      </c>
      <c r="I128" s="455" t="s">
        <v>73</v>
      </c>
      <c r="J128" s="455" t="s">
        <v>72</v>
      </c>
      <c r="K128" s="455" t="s">
        <v>1150</v>
      </c>
      <c r="L128" s="455" t="s">
        <v>1248</v>
      </c>
      <c r="M128" s="456">
        <v>44197</v>
      </c>
      <c r="N128" s="456">
        <v>44561</v>
      </c>
      <c r="O128" s="455">
        <f>+R128+U128+X128+AA128+AD128+AG128+AJ128+AM128+AP128+AS128+AV128+AY128</f>
        <v>0</v>
      </c>
      <c r="P128" s="455">
        <v>1</v>
      </c>
      <c r="Q128" s="455">
        <v>0</v>
      </c>
      <c r="R128" s="455">
        <v>0</v>
      </c>
      <c r="S128" s="457" t="s">
        <v>1249</v>
      </c>
      <c r="T128" s="455">
        <v>0</v>
      </c>
      <c r="U128" s="455">
        <v>0</v>
      </c>
      <c r="V128" s="457" t="s">
        <v>1250</v>
      </c>
      <c r="W128" s="455">
        <v>0</v>
      </c>
      <c r="X128" s="455">
        <v>0</v>
      </c>
      <c r="Y128" s="457" t="s">
        <v>1251</v>
      </c>
      <c r="Z128" s="455">
        <v>0</v>
      </c>
      <c r="AA128" s="474">
        <v>0</v>
      </c>
      <c r="AB128" s="475" t="s">
        <v>1252</v>
      </c>
      <c r="AC128" s="455">
        <v>0</v>
      </c>
      <c r="AD128" s="455">
        <v>0</v>
      </c>
      <c r="AE128" s="457" t="s">
        <v>1253</v>
      </c>
      <c r="AF128" s="455">
        <v>0</v>
      </c>
      <c r="AG128" s="455">
        <v>0</v>
      </c>
      <c r="AH128" s="463" t="s">
        <v>1254</v>
      </c>
      <c r="AI128" s="455">
        <v>0</v>
      </c>
      <c r="AJ128" s="455"/>
      <c r="AK128" s="455"/>
      <c r="AL128" s="455">
        <v>0</v>
      </c>
      <c r="AM128" s="455"/>
      <c r="AN128" s="455"/>
      <c r="AO128" s="455">
        <v>0</v>
      </c>
      <c r="AP128" s="455"/>
      <c r="AQ128" s="455"/>
      <c r="AR128" s="455">
        <v>0</v>
      </c>
      <c r="AS128" s="455"/>
      <c r="AT128" s="455"/>
      <c r="AU128" s="455">
        <v>0</v>
      </c>
      <c r="AV128" s="455"/>
      <c r="AW128" s="455"/>
      <c r="AX128" s="455">
        <v>1</v>
      </c>
      <c r="AY128" s="453"/>
      <c r="AZ128" s="453"/>
      <c r="BA128" s="453">
        <f t="shared" si="5"/>
        <v>0</v>
      </c>
      <c r="BB128" s="453">
        <f t="shared" si="6"/>
        <v>0</v>
      </c>
      <c r="BC128" s="459" t="str">
        <f>+IF(BA128=0,+IF(BB128=0,"No programación, No avance",+IF(BB128&gt;0,+IF(BA128=0,BB128/P128))),BB128/BA128)</f>
        <v>No programación, No avance</v>
      </c>
    </row>
    <row r="129" spans="1:56" s="2" customFormat="1" ht="48" customHeight="1">
      <c r="A129" s="713"/>
      <c r="B129" s="750"/>
      <c r="C129" s="685" t="s">
        <v>170</v>
      </c>
      <c r="D129" s="685" t="s">
        <v>1256</v>
      </c>
      <c r="E129" s="455" t="s">
        <v>1257</v>
      </c>
      <c r="F129" s="455" t="s">
        <v>531</v>
      </c>
      <c r="G129" s="455">
        <v>0.03</v>
      </c>
      <c r="H129" s="455" t="s">
        <v>171</v>
      </c>
      <c r="I129" s="455" t="s">
        <v>73</v>
      </c>
      <c r="J129" s="455" t="s">
        <v>72</v>
      </c>
      <c r="K129" s="455" t="s">
        <v>1150</v>
      </c>
      <c r="L129" s="455" t="s">
        <v>1164</v>
      </c>
      <c r="M129" s="456">
        <v>44197</v>
      </c>
      <c r="N129" s="456">
        <v>44561</v>
      </c>
      <c r="O129" s="455">
        <f>+R129+U129+X129+AA129+AD129+AG129+AJ129+AM129+AP129+AS129+AV129+AY129</f>
        <v>0</v>
      </c>
      <c r="P129" s="455">
        <v>1</v>
      </c>
      <c r="Q129" s="455">
        <v>0</v>
      </c>
      <c r="R129" s="455">
        <v>0</v>
      </c>
      <c r="S129" s="457" t="s">
        <v>1258</v>
      </c>
      <c r="T129" s="455">
        <v>0</v>
      </c>
      <c r="U129" s="455">
        <v>0</v>
      </c>
      <c r="V129" s="457" t="s">
        <v>1259</v>
      </c>
      <c r="W129" s="455">
        <v>0</v>
      </c>
      <c r="X129" s="455">
        <v>0</v>
      </c>
      <c r="Y129" s="457" t="s">
        <v>1260</v>
      </c>
      <c r="Z129" s="455">
        <v>0</v>
      </c>
      <c r="AA129" s="474">
        <v>0</v>
      </c>
      <c r="AB129" s="475" t="s">
        <v>1261</v>
      </c>
      <c r="AC129" s="455">
        <v>0</v>
      </c>
      <c r="AD129" s="455">
        <v>0</v>
      </c>
      <c r="AE129" s="457" t="s">
        <v>1262</v>
      </c>
      <c r="AF129" s="455">
        <v>0</v>
      </c>
      <c r="AG129" s="455">
        <v>0</v>
      </c>
      <c r="AH129" s="455" t="s">
        <v>1263</v>
      </c>
      <c r="AI129" s="455">
        <v>0</v>
      </c>
      <c r="AJ129" s="455"/>
      <c r="AK129" s="455"/>
      <c r="AL129" s="455">
        <v>0</v>
      </c>
      <c r="AM129" s="455"/>
      <c r="AN129" s="455"/>
      <c r="AO129" s="455">
        <v>0</v>
      </c>
      <c r="AP129" s="455"/>
      <c r="AQ129" s="455"/>
      <c r="AR129" s="455">
        <v>1</v>
      </c>
      <c r="AS129" s="455"/>
      <c r="AT129" s="455"/>
      <c r="AU129" s="455">
        <v>0</v>
      </c>
      <c r="AV129" s="455"/>
      <c r="AW129" s="455"/>
      <c r="AX129" s="455">
        <v>0</v>
      </c>
      <c r="AY129" s="453"/>
      <c r="AZ129" s="453"/>
      <c r="BA129" s="453">
        <f t="shared" si="5"/>
        <v>0</v>
      </c>
      <c r="BB129" s="453">
        <f t="shared" si="6"/>
        <v>0</v>
      </c>
      <c r="BC129" s="459" t="str">
        <f>+IF(BA129=0,+IF(BB129=0,"No programación, No avance",+IF(BB129&gt;0,+IF(BA129=0,BB129/P129))),BB129/BA129)</f>
        <v>No programación, No avance</v>
      </c>
    </row>
    <row r="130" spans="1:56" s="2" customFormat="1" ht="60">
      <c r="A130" s="713"/>
      <c r="B130" s="750"/>
      <c r="C130" s="685"/>
      <c r="D130" s="685"/>
      <c r="E130" s="455" t="s">
        <v>1265</v>
      </c>
      <c r="F130" s="455" t="s">
        <v>472</v>
      </c>
      <c r="G130" s="455">
        <v>0.03</v>
      </c>
      <c r="H130" s="455" t="s">
        <v>171</v>
      </c>
      <c r="I130" s="455" t="s">
        <v>73</v>
      </c>
      <c r="J130" s="455" t="s">
        <v>72</v>
      </c>
      <c r="K130" s="455" t="s">
        <v>1150</v>
      </c>
      <c r="L130" s="455" t="s">
        <v>1164</v>
      </c>
      <c r="M130" s="456">
        <v>44197</v>
      </c>
      <c r="N130" s="456">
        <v>44561</v>
      </c>
      <c r="O130" s="455">
        <f>+R130+U130+X130+AA130+AD130+AG130+AJ130+AM130+AP130+AS130+AV130+AY130</f>
        <v>0</v>
      </c>
      <c r="P130" s="455">
        <v>1</v>
      </c>
      <c r="Q130" s="455">
        <v>0</v>
      </c>
      <c r="R130" s="455">
        <v>0</v>
      </c>
      <c r="S130" s="457" t="s">
        <v>1097</v>
      </c>
      <c r="T130" s="455">
        <v>0</v>
      </c>
      <c r="U130" s="455">
        <v>0</v>
      </c>
      <c r="V130" s="457" t="s">
        <v>1266</v>
      </c>
      <c r="W130" s="455">
        <v>0</v>
      </c>
      <c r="X130" s="455">
        <v>0</v>
      </c>
      <c r="Y130" s="457" t="s">
        <v>1267</v>
      </c>
      <c r="Z130" s="455">
        <v>0</v>
      </c>
      <c r="AA130" s="474">
        <v>0</v>
      </c>
      <c r="AB130" s="475" t="s">
        <v>1267</v>
      </c>
      <c r="AC130" s="455">
        <v>0</v>
      </c>
      <c r="AD130" s="455">
        <v>0</v>
      </c>
      <c r="AE130" s="457" t="s">
        <v>1268</v>
      </c>
      <c r="AF130" s="455">
        <v>0</v>
      </c>
      <c r="AG130" s="455">
        <v>0</v>
      </c>
      <c r="AH130" s="455" t="s">
        <v>1269</v>
      </c>
      <c r="AI130" s="455">
        <v>0</v>
      </c>
      <c r="AJ130" s="455"/>
      <c r="AK130" s="455"/>
      <c r="AL130" s="455">
        <v>0</v>
      </c>
      <c r="AM130" s="455"/>
      <c r="AN130" s="455"/>
      <c r="AO130" s="455">
        <v>0</v>
      </c>
      <c r="AP130" s="455"/>
      <c r="AQ130" s="455"/>
      <c r="AR130" s="455">
        <v>0</v>
      </c>
      <c r="AS130" s="455"/>
      <c r="AT130" s="455"/>
      <c r="AU130" s="455">
        <v>0</v>
      </c>
      <c r="AV130" s="455"/>
      <c r="AW130" s="455"/>
      <c r="AX130" s="455">
        <v>1</v>
      </c>
      <c r="AY130" s="453"/>
      <c r="AZ130" s="453"/>
      <c r="BA130" s="453">
        <f t="shared" si="5"/>
        <v>0</v>
      </c>
      <c r="BB130" s="453">
        <f t="shared" si="6"/>
        <v>0</v>
      </c>
      <c r="BC130" s="459" t="str">
        <f>+IF(BA130=0,+IF(BB130=0,"No programación, No avance",+IF(BB130&gt;0,+IF(BA130=0,BB130/P130))),BB130/BA130)</f>
        <v>No programación, No avance</v>
      </c>
    </row>
    <row r="131" spans="1:56" s="2" customFormat="1" ht="60">
      <c r="A131" s="713"/>
      <c r="B131" s="750"/>
      <c r="C131" s="685"/>
      <c r="D131" s="685"/>
      <c r="E131" s="455" t="s">
        <v>1271</v>
      </c>
      <c r="F131" s="455" t="s">
        <v>472</v>
      </c>
      <c r="G131" s="455">
        <v>0.03</v>
      </c>
      <c r="H131" s="455" t="s">
        <v>171</v>
      </c>
      <c r="I131" s="455" t="s">
        <v>73</v>
      </c>
      <c r="J131" s="455" t="s">
        <v>72</v>
      </c>
      <c r="K131" s="455" t="s">
        <v>1150</v>
      </c>
      <c r="L131" s="455" t="s">
        <v>1164</v>
      </c>
      <c r="M131" s="456">
        <v>44197</v>
      </c>
      <c r="N131" s="456">
        <v>44561</v>
      </c>
      <c r="O131" s="455">
        <f>+R131+U131+X131+AA131+AD131+AG131+AJ131+AM131+AP131+AS131+AV131+AY131</f>
        <v>0</v>
      </c>
      <c r="P131" s="455">
        <v>1</v>
      </c>
      <c r="Q131" s="455">
        <v>0</v>
      </c>
      <c r="R131" s="455">
        <v>0</v>
      </c>
      <c r="S131" s="457" t="s">
        <v>1272</v>
      </c>
      <c r="T131" s="455">
        <v>0</v>
      </c>
      <c r="U131" s="455">
        <v>0</v>
      </c>
      <c r="V131" s="457" t="s">
        <v>1273</v>
      </c>
      <c r="W131" s="455">
        <v>0</v>
      </c>
      <c r="X131" s="455">
        <v>0</v>
      </c>
      <c r="Y131" s="457" t="s">
        <v>1274</v>
      </c>
      <c r="Z131" s="455">
        <v>0</v>
      </c>
      <c r="AA131" s="474">
        <v>0</v>
      </c>
      <c r="AB131" s="475" t="s">
        <v>1275</v>
      </c>
      <c r="AC131" s="455">
        <v>0</v>
      </c>
      <c r="AD131" s="455">
        <v>0</v>
      </c>
      <c r="AE131" s="457" t="s">
        <v>1276</v>
      </c>
      <c r="AF131" s="455">
        <v>1</v>
      </c>
      <c r="AG131" s="455">
        <v>0</v>
      </c>
      <c r="AH131" s="455" t="s">
        <v>1277</v>
      </c>
      <c r="AI131" s="455">
        <v>0</v>
      </c>
      <c r="AJ131" s="455"/>
      <c r="AK131" s="455"/>
      <c r="AL131" s="455">
        <v>0</v>
      </c>
      <c r="AM131" s="455"/>
      <c r="AN131" s="455"/>
      <c r="AO131" s="455">
        <v>0</v>
      </c>
      <c r="AP131" s="455"/>
      <c r="AQ131" s="455"/>
      <c r="AR131" s="455">
        <v>0</v>
      </c>
      <c r="AS131" s="455"/>
      <c r="AT131" s="455"/>
      <c r="AU131" s="455">
        <v>0</v>
      </c>
      <c r="AV131" s="455"/>
      <c r="AW131" s="455"/>
      <c r="AX131" s="455">
        <v>0</v>
      </c>
      <c r="AY131" s="453"/>
      <c r="AZ131" s="453"/>
      <c r="BA131" s="453">
        <f t="shared" si="5"/>
        <v>1</v>
      </c>
      <c r="BB131" s="453">
        <f t="shared" si="6"/>
        <v>0</v>
      </c>
      <c r="BC131" s="459">
        <f>+IF(BA131=0,+IF(BB131=0,"No programación, No avance",+IF(BB131&gt;0,+IF(BA131=0,BB131/P131))),BB131/BA131)</f>
        <v>0</v>
      </c>
    </row>
    <row r="132" spans="1:56" s="2" customFormat="1" ht="48">
      <c r="A132" s="713"/>
      <c r="B132" s="750"/>
      <c r="C132" s="685"/>
      <c r="D132" s="685"/>
      <c r="E132" s="455" t="s">
        <v>1279</v>
      </c>
      <c r="F132" s="455" t="s">
        <v>472</v>
      </c>
      <c r="G132" s="455">
        <v>0.03</v>
      </c>
      <c r="H132" s="455" t="s">
        <v>171</v>
      </c>
      <c r="I132" s="455" t="s">
        <v>73</v>
      </c>
      <c r="J132" s="455" t="s">
        <v>72</v>
      </c>
      <c r="K132" s="455" t="s">
        <v>1150</v>
      </c>
      <c r="L132" s="455" t="s">
        <v>1164</v>
      </c>
      <c r="M132" s="456">
        <v>44197</v>
      </c>
      <c r="N132" s="456">
        <v>44561</v>
      </c>
      <c r="O132" s="455">
        <f>+R132+U132+X132+AA132+AD132+AG132+AJ132+AM132+AP132+AS132+AV132+AY132</f>
        <v>0</v>
      </c>
      <c r="P132" s="455">
        <v>1</v>
      </c>
      <c r="Q132" s="455">
        <v>0</v>
      </c>
      <c r="R132" s="455">
        <v>0</v>
      </c>
      <c r="S132" s="457" t="s">
        <v>1280</v>
      </c>
      <c r="T132" s="455">
        <v>0</v>
      </c>
      <c r="U132" s="455">
        <v>0</v>
      </c>
      <c r="V132" s="457" t="s">
        <v>1281</v>
      </c>
      <c r="W132" s="455">
        <v>0</v>
      </c>
      <c r="X132" s="455">
        <v>0</v>
      </c>
      <c r="Y132" s="457" t="s">
        <v>1282</v>
      </c>
      <c r="Z132" s="455">
        <v>0</v>
      </c>
      <c r="AA132" s="474">
        <v>0</v>
      </c>
      <c r="AB132" s="475" t="s">
        <v>1283</v>
      </c>
      <c r="AC132" s="455">
        <v>0</v>
      </c>
      <c r="AD132" s="455">
        <v>0</v>
      </c>
      <c r="AE132" s="457" t="s">
        <v>1284</v>
      </c>
      <c r="AF132" s="455">
        <v>0</v>
      </c>
      <c r="AG132" s="455">
        <v>0</v>
      </c>
      <c r="AH132" s="455" t="s">
        <v>1285</v>
      </c>
      <c r="AI132" s="455">
        <v>0</v>
      </c>
      <c r="AJ132" s="455"/>
      <c r="AK132" s="455"/>
      <c r="AL132" s="455">
        <v>0</v>
      </c>
      <c r="AM132" s="455"/>
      <c r="AN132" s="455"/>
      <c r="AO132" s="455">
        <v>0</v>
      </c>
      <c r="AP132" s="455"/>
      <c r="AQ132" s="455"/>
      <c r="AR132" s="455">
        <v>0</v>
      </c>
      <c r="AS132" s="455"/>
      <c r="AT132" s="455"/>
      <c r="AU132" s="455">
        <v>0</v>
      </c>
      <c r="AV132" s="455"/>
      <c r="AW132" s="455"/>
      <c r="AX132" s="455">
        <v>1</v>
      </c>
      <c r="AY132" s="453"/>
      <c r="AZ132" s="453"/>
      <c r="BA132" s="453">
        <f t="shared" si="5"/>
        <v>0</v>
      </c>
      <c r="BB132" s="453">
        <f t="shared" si="6"/>
        <v>0</v>
      </c>
      <c r="BC132" s="459" t="str">
        <f>+IF(BA132=0,+IF(BB132=0,"No programación, No avance",+IF(BB132&gt;0,+IF(BA132=0,BB132/P132))),BB132/BA132)</f>
        <v>No programación, No avance</v>
      </c>
    </row>
    <row r="133" spans="1:56" s="2" customFormat="1" ht="48">
      <c r="A133" s="713"/>
      <c r="B133" s="750"/>
      <c r="C133" s="685"/>
      <c r="D133" s="685"/>
      <c r="E133" s="455" t="s">
        <v>1287</v>
      </c>
      <c r="F133" s="455" t="s">
        <v>531</v>
      </c>
      <c r="G133" s="455">
        <v>0.03</v>
      </c>
      <c r="H133" s="455" t="s">
        <v>171</v>
      </c>
      <c r="I133" s="455" t="s">
        <v>73</v>
      </c>
      <c r="J133" s="455" t="s">
        <v>72</v>
      </c>
      <c r="K133" s="455" t="s">
        <v>1150</v>
      </c>
      <c r="L133" s="455" t="s">
        <v>1164</v>
      </c>
      <c r="M133" s="456">
        <v>44197</v>
      </c>
      <c r="N133" s="456">
        <v>44561</v>
      </c>
      <c r="O133" s="455">
        <f>+R133+U133+X133+AA133+AD133+AG133+AJ133+AM133+AP133+AS133+AV133+AY133</f>
        <v>0</v>
      </c>
      <c r="P133" s="455">
        <v>1</v>
      </c>
      <c r="Q133" s="455">
        <v>0</v>
      </c>
      <c r="R133" s="455">
        <v>0</v>
      </c>
      <c r="S133" s="457" t="s">
        <v>1288</v>
      </c>
      <c r="T133" s="455">
        <v>0</v>
      </c>
      <c r="U133" s="455">
        <v>0</v>
      </c>
      <c r="V133" s="457" t="s">
        <v>1289</v>
      </c>
      <c r="W133" s="455">
        <v>0</v>
      </c>
      <c r="X133" s="455">
        <v>0</v>
      </c>
      <c r="Y133" s="457" t="s">
        <v>1290</v>
      </c>
      <c r="Z133" s="455">
        <v>0</v>
      </c>
      <c r="AA133" s="474">
        <v>0</v>
      </c>
      <c r="AB133" s="475" t="s">
        <v>1291</v>
      </c>
      <c r="AC133" s="455">
        <v>0</v>
      </c>
      <c r="AD133" s="455">
        <v>0</v>
      </c>
      <c r="AE133" s="457" t="s">
        <v>1276</v>
      </c>
      <c r="AF133" s="455">
        <v>1</v>
      </c>
      <c r="AG133" s="455">
        <v>0</v>
      </c>
      <c r="AH133" s="455" t="s">
        <v>1292</v>
      </c>
      <c r="AI133" s="455">
        <v>0</v>
      </c>
      <c r="AJ133" s="455"/>
      <c r="AK133" s="455"/>
      <c r="AL133" s="455">
        <v>0</v>
      </c>
      <c r="AM133" s="455"/>
      <c r="AN133" s="455"/>
      <c r="AO133" s="455">
        <v>0</v>
      </c>
      <c r="AP133" s="455"/>
      <c r="AQ133" s="455"/>
      <c r="AR133" s="455">
        <v>0</v>
      </c>
      <c r="AS133" s="455"/>
      <c r="AT133" s="455"/>
      <c r="AU133" s="455">
        <v>0</v>
      </c>
      <c r="AV133" s="455"/>
      <c r="AW133" s="455"/>
      <c r="AX133" s="455">
        <v>0</v>
      </c>
      <c r="AY133" s="453"/>
      <c r="AZ133" s="453"/>
      <c r="BA133" s="453">
        <f t="shared" si="5"/>
        <v>1</v>
      </c>
      <c r="BB133" s="453">
        <f t="shared" si="6"/>
        <v>0</v>
      </c>
      <c r="BC133" s="459">
        <f>+IF(BA133=0,+IF(BB133=0,"No programación, No avance",+IF(BB133&gt;0,+IF(BA133=0,BB133/P133))),BB133/BA133)</f>
        <v>0</v>
      </c>
    </row>
    <row r="134" spans="1:56" s="2" customFormat="1" ht="108" customHeight="1">
      <c r="A134" s="713"/>
      <c r="B134" s="750"/>
      <c r="C134" s="685" t="s">
        <v>173</v>
      </c>
      <c r="D134" s="455" t="s">
        <v>174</v>
      </c>
      <c r="E134" s="455" t="s">
        <v>1294</v>
      </c>
      <c r="F134" s="455" t="s">
        <v>531</v>
      </c>
      <c r="G134" s="455">
        <v>0.05</v>
      </c>
      <c r="H134" s="455" t="s">
        <v>171</v>
      </c>
      <c r="I134" s="455" t="s">
        <v>73</v>
      </c>
      <c r="J134" s="455" t="s">
        <v>72</v>
      </c>
      <c r="K134" s="455" t="s">
        <v>1150</v>
      </c>
      <c r="L134" s="455" t="s">
        <v>1164</v>
      </c>
      <c r="M134" s="456">
        <v>44197</v>
      </c>
      <c r="N134" s="456">
        <v>44561</v>
      </c>
      <c r="O134" s="455">
        <f>+R134+U134+X134+AA134+AD134+AG134+AJ134+AM134+AP134+AS134+AV134+AY134</f>
        <v>1</v>
      </c>
      <c r="P134" s="455">
        <v>1</v>
      </c>
      <c r="Q134" s="455">
        <v>0</v>
      </c>
      <c r="R134" s="455">
        <v>0</v>
      </c>
      <c r="S134" s="457" t="s">
        <v>1097</v>
      </c>
      <c r="T134" s="455">
        <v>0</v>
      </c>
      <c r="U134" s="455">
        <v>0</v>
      </c>
      <c r="V134" s="457" t="s">
        <v>1295</v>
      </c>
      <c r="W134" s="455">
        <v>0</v>
      </c>
      <c r="X134" s="455">
        <v>0</v>
      </c>
      <c r="Y134" s="457" t="s">
        <v>1296</v>
      </c>
      <c r="Z134" s="455">
        <v>0</v>
      </c>
      <c r="AA134" s="455">
        <v>1</v>
      </c>
      <c r="AB134" s="457" t="s">
        <v>1297</v>
      </c>
      <c r="AC134" s="455">
        <v>0</v>
      </c>
      <c r="AD134" s="455">
        <v>0</v>
      </c>
      <c r="AE134" s="457" t="s">
        <v>1298</v>
      </c>
      <c r="AF134" s="455">
        <v>0</v>
      </c>
      <c r="AG134" s="455">
        <v>0</v>
      </c>
      <c r="AH134" s="455" t="s">
        <v>1114</v>
      </c>
      <c r="AI134" s="455">
        <v>1</v>
      </c>
      <c r="AJ134" s="455"/>
      <c r="AK134" s="455"/>
      <c r="AL134" s="455">
        <v>0</v>
      </c>
      <c r="AM134" s="455"/>
      <c r="AN134" s="455"/>
      <c r="AO134" s="455">
        <v>0</v>
      </c>
      <c r="AP134" s="455"/>
      <c r="AQ134" s="455"/>
      <c r="AR134" s="455">
        <v>0</v>
      </c>
      <c r="AS134" s="455"/>
      <c r="AT134" s="455"/>
      <c r="AU134" s="455">
        <v>1</v>
      </c>
      <c r="AV134" s="455"/>
      <c r="AW134" s="455"/>
      <c r="AX134" s="455">
        <v>0</v>
      </c>
      <c r="AY134" s="453"/>
      <c r="AZ134" s="453"/>
      <c r="BA134" s="453">
        <f t="shared" si="5"/>
        <v>0</v>
      </c>
      <c r="BB134" s="453">
        <f t="shared" si="6"/>
        <v>1</v>
      </c>
      <c r="BC134" s="459">
        <f>+IF(BA134=0,+IF(BB134=0,"No programación, No avance",+IF(BB134&gt;0,+IF(BA134=0,BB134/P134))),BB134/BA134)</f>
        <v>1</v>
      </c>
    </row>
    <row r="135" spans="1:56" s="2" customFormat="1" ht="41.25" customHeight="1">
      <c r="A135" s="713"/>
      <c r="B135" s="750"/>
      <c r="C135" s="685"/>
      <c r="D135" s="685" t="s">
        <v>175</v>
      </c>
      <c r="E135" s="455" t="s">
        <v>1299</v>
      </c>
      <c r="F135" s="455" t="s">
        <v>531</v>
      </c>
      <c r="G135" s="455">
        <v>0.05</v>
      </c>
      <c r="H135" s="455" t="s">
        <v>171</v>
      </c>
      <c r="I135" s="455" t="s">
        <v>73</v>
      </c>
      <c r="J135" s="455" t="s">
        <v>72</v>
      </c>
      <c r="K135" s="455" t="s">
        <v>1150</v>
      </c>
      <c r="L135" s="455" t="s">
        <v>1164</v>
      </c>
      <c r="M135" s="456">
        <v>44197</v>
      </c>
      <c r="N135" s="456">
        <v>44561</v>
      </c>
      <c r="O135" s="480">
        <f>+R135+U135+X135+AA135+AD135+AG135+AJ135+AM135+AP135+AS135+AV135+AY135</f>
        <v>0.25469999999999998</v>
      </c>
      <c r="P135" s="455">
        <v>1</v>
      </c>
      <c r="Q135" s="455">
        <v>0</v>
      </c>
      <c r="R135" s="455">
        <v>0</v>
      </c>
      <c r="S135" s="457" t="s">
        <v>1300</v>
      </c>
      <c r="T135" s="480">
        <v>5.2600000000000001E-2</v>
      </c>
      <c r="U135" s="480">
        <v>5.2600000000000001E-2</v>
      </c>
      <c r="V135" s="457" t="s">
        <v>1301</v>
      </c>
      <c r="W135" s="480">
        <v>5.79E-2</v>
      </c>
      <c r="X135" s="480">
        <v>5.79E-2</v>
      </c>
      <c r="Y135" s="457" t="s">
        <v>1302</v>
      </c>
      <c r="Z135" s="480">
        <v>0.1502</v>
      </c>
      <c r="AA135" s="480">
        <v>6.8400000000000002E-2</v>
      </c>
      <c r="AB135" s="457" t="s">
        <v>1302</v>
      </c>
      <c r="AC135" s="480">
        <v>0.1421</v>
      </c>
      <c r="AD135" s="464">
        <v>0.03</v>
      </c>
      <c r="AE135" s="457" t="s">
        <v>1302</v>
      </c>
      <c r="AF135" s="455">
        <v>0</v>
      </c>
      <c r="AG135" s="480">
        <v>4.58E-2</v>
      </c>
      <c r="AH135" s="455" t="s">
        <v>1302</v>
      </c>
      <c r="AI135" s="455">
        <v>0</v>
      </c>
      <c r="AJ135" s="455"/>
      <c r="AK135" s="455"/>
      <c r="AL135" s="455">
        <v>0</v>
      </c>
      <c r="AM135" s="455"/>
      <c r="AN135" s="455"/>
      <c r="AO135" s="455">
        <v>0</v>
      </c>
      <c r="AP135" s="455"/>
      <c r="AQ135" s="455"/>
      <c r="AR135" s="455">
        <v>0</v>
      </c>
      <c r="AS135" s="455"/>
      <c r="AT135" s="455"/>
      <c r="AU135" s="455">
        <v>0</v>
      </c>
      <c r="AV135" s="455"/>
      <c r="AW135" s="455"/>
      <c r="AX135" s="455">
        <v>1</v>
      </c>
      <c r="AY135" s="453"/>
      <c r="AZ135" s="453"/>
      <c r="BA135" s="453">
        <f t="shared" si="5"/>
        <v>0.40279999999999999</v>
      </c>
      <c r="BB135" s="453">
        <f t="shared" si="6"/>
        <v>0.25469999999999998</v>
      </c>
      <c r="BC135" s="459">
        <f>+IF(BA135=0,+IF(BB135=0,"No programación, No avance",+IF(BB135&gt;0,+IF(BA135=0,BB135/P135))),BB135/BA135)</f>
        <v>0.63232373386295926</v>
      </c>
    </row>
    <row r="136" spans="1:56" s="2" customFormat="1" ht="78.75" customHeight="1">
      <c r="A136" s="713"/>
      <c r="B136" s="750"/>
      <c r="C136" s="685"/>
      <c r="D136" s="685"/>
      <c r="E136" s="455" t="s">
        <v>1304</v>
      </c>
      <c r="F136" s="455" t="s">
        <v>472</v>
      </c>
      <c r="G136" s="455">
        <v>0.05</v>
      </c>
      <c r="H136" s="455" t="s">
        <v>176</v>
      </c>
      <c r="I136" s="455" t="s">
        <v>73</v>
      </c>
      <c r="J136" s="455" t="s">
        <v>72</v>
      </c>
      <c r="K136" s="455" t="s">
        <v>1150</v>
      </c>
      <c r="L136" s="455" t="s">
        <v>1305</v>
      </c>
      <c r="M136" s="456">
        <v>44197</v>
      </c>
      <c r="N136" s="456">
        <v>44561</v>
      </c>
      <c r="O136" s="455">
        <f>+R136+U136+X136+AA136+AD136+AG136+AJ136+AM136+AP136+AS136+AV136+AY136</f>
        <v>1</v>
      </c>
      <c r="P136" s="455">
        <v>1</v>
      </c>
      <c r="Q136" s="455">
        <v>0</v>
      </c>
      <c r="R136" s="455">
        <v>0</v>
      </c>
      <c r="S136" s="457" t="s">
        <v>1306</v>
      </c>
      <c r="T136" s="455">
        <v>0</v>
      </c>
      <c r="U136" s="455">
        <v>0</v>
      </c>
      <c r="V136" s="457" t="s">
        <v>1307</v>
      </c>
      <c r="W136" s="455">
        <v>0</v>
      </c>
      <c r="X136" s="455">
        <v>0</v>
      </c>
      <c r="Y136" s="457" t="s">
        <v>1308</v>
      </c>
      <c r="Z136" s="455">
        <v>0</v>
      </c>
      <c r="AA136" s="474">
        <v>1</v>
      </c>
      <c r="AB136" s="475" t="s">
        <v>1309</v>
      </c>
      <c r="AC136" s="455">
        <v>0</v>
      </c>
      <c r="AD136" s="455">
        <v>0</v>
      </c>
      <c r="AE136" s="455" t="s">
        <v>1114</v>
      </c>
      <c r="AF136" s="455">
        <v>0</v>
      </c>
      <c r="AG136" s="455">
        <v>0</v>
      </c>
      <c r="AH136" s="455" t="s">
        <v>1114</v>
      </c>
      <c r="AI136" s="455">
        <v>0</v>
      </c>
      <c r="AJ136" s="455"/>
      <c r="AK136" s="455"/>
      <c r="AL136" s="455">
        <v>0</v>
      </c>
      <c r="AM136" s="455"/>
      <c r="AN136" s="455"/>
      <c r="AO136" s="455">
        <v>0</v>
      </c>
      <c r="AP136" s="455"/>
      <c r="AQ136" s="455"/>
      <c r="AR136" s="455">
        <v>0</v>
      </c>
      <c r="AS136" s="455"/>
      <c r="AT136" s="455"/>
      <c r="AU136" s="455">
        <v>0</v>
      </c>
      <c r="AV136" s="455"/>
      <c r="AW136" s="455"/>
      <c r="AX136" s="455">
        <v>1</v>
      </c>
      <c r="AY136" s="453"/>
      <c r="AZ136" s="453"/>
      <c r="BA136" s="453">
        <f t="shared" si="5"/>
        <v>0</v>
      </c>
      <c r="BB136" s="453">
        <f t="shared" si="6"/>
        <v>1</v>
      </c>
      <c r="BC136" s="459">
        <f>+IF(BA136=0,+IF(BB136=0,"No programación, No avance",+IF(BB136&gt;0,+IF(BA136=0,BB136/P136))),BB136/BA136)</f>
        <v>1</v>
      </c>
    </row>
    <row r="137" spans="1:56" s="2" customFormat="1" ht="87" customHeight="1">
      <c r="A137" s="713"/>
      <c r="B137" s="750"/>
      <c r="C137" s="455" t="s">
        <v>151</v>
      </c>
      <c r="D137" s="455" t="s">
        <v>1108</v>
      </c>
      <c r="E137" s="455" t="s">
        <v>1311</v>
      </c>
      <c r="F137" s="455" t="s">
        <v>690</v>
      </c>
      <c r="G137" s="455">
        <v>1</v>
      </c>
      <c r="H137" s="455" t="s">
        <v>1110</v>
      </c>
      <c r="I137" s="455" t="s">
        <v>79</v>
      </c>
      <c r="J137" s="455" t="s">
        <v>78</v>
      </c>
      <c r="K137" s="455" t="s">
        <v>1076</v>
      </c>
      <c r="L137" s="455" t="s">
        <v>1096</v>
      </c>
      <c r="M137" s="456">
        <v>44197</v>
      </c>
      <c r="N137" s="456">
        <v>44561</v>
      </c>
      <c r="O137" s="455">
        <f>+R137+U137+X137+AA137+AD137+AG137+AJ137+AM137+AP137+AS137+AV137+AY137</f>
        <v>0.44080000000000003</v>
      </c>
      <c r="P137" s="464">
        <v>0.15</v>
      </c>
      <c r="Q137" s="455">
        <v>0</v>
      </c>
      <c r="R137" s="464">
        <v>0</v>
      </c>
      <c r="S137" s="457"/>
      <c r="T137" s="455">
        <v>0</v>
      </c>
      <c r="U137" s="466">
        <v>0</v>
      </c>
      <c r="V137" s="457"/>
      <c r="W137" s="455">
        <v>0</v>
      </c>
      <c r="X137" s="466">
        <v>0</v>
      </c>
      <c r="Y137" s="457"/>
      <c r="Z137" s="455">
        <v>0</v>
      </c>
      <c r="AA137" s="480">
        <v>0.12180000000000001</v>
      </c>
      <c r="AB137" s="455" t="s">
        <v>1312</v>
      </c>
      <c r="AC137" s="455">
        <v>0</v>
      </c>
      <c r="AD137" s="482">
        <v>0.13500000000000001</v>
      </c>
      <c r="AE137" s="455"/>
      <c r="AF137" s="455">
        <v>0</v>
      </c>
      <c r="AG137" s="480">
        <v>0.184</v>
      </c>
      <c r="AH137" s="455" t="s">
        <v>1313</v>
      </c>
      <c r="AI137" s="455">
        <v>0</v>
      </c>
      <c r="AJ137" s="455"/>
      <c r="AK137" s="455"/>
      <c r="AL137" s="455">
        <v>0</v>
      </c>
      <c r="AM137" s="455"/>
      <c r="AN137" s="455"/>
      <c r="AO137" s="455">
        <v>0</v>
      </c>
      <c r="AP137" s="455"/>
      <c r="AQ137" s="455"/>
      <c r="AR137" s="455">
        <v>0</v>
      </c>
      <c r="AS137" s="455"/>
      <c r="AT137" s="455"/>
      <c r="AU137" s="455">
        <v>0</v>
      </c>
      <c r="AV137" s="455"/>
      <c r="AW137" s="455"/>
      <c r="AX137" s="464">
        <v>0.15</v>
      </c>
      <c r="AY137" s="453"/>
      <c r="AZ137" s="453"/>
      <c r="BA137" s="510">
        <f t="shared" ref="BA137:BA138" si="7">+Q137+T137+W137+Z137+AC137</f>
        <v>0</v>
      </c>
      <c r="BB137" s="511">
        <f>+AD137</f>
        <v>0.13500000000000001</v>
      </c>
      <c r="BC137" s="459">
        <f>+IF(BA137=0,+IF(BB137=0,"No programación, No avance",+IF(BB137&gt;0,+IF(BA137=0,BB137/P137))),BB137/BA137)</f>
        <v>0.90000000000000013</v>
      </c>
    </row>
    <row r="138" spans="1:56" s="2" customFormat="1" ht="87" customHeight="1" thickBot="1">
      <c r="A138" s="704"/>
      <c r="B138" s="751"/>
      <c r="C138" s="483" t="s">
        <v>151</v>
      </c>
      <c r="D138" s="483" t="s">
        <v>1108</v>
      </c>
      <c r="E138" s="483" t="s">
        <v>1315</v>
      </c>
      <c r="F138" s="483" t="s">
        <v>690</v>
      </c>
      <c r="G138" s="483">
        <v>1</v>
      </c>
      <c r="H138" s="483" t="s">
        <v>1110</v>
      </c>
      <c r="I138" s="483" t="s">
        <v>79</v>
      </c>
      <c r="J138" s="483" t="s">
        <v>78</v>
      </c>
      <c r="K138" s="483" t="s">
        <v>1076</v>
      </c>
      <c r="L138" s="483" t="s">
        <v>1096</v>
      </c>
      <c r="M138" s="484">
        <v>44197</v>
      </c>
      <c r="N138" s="484">
        <v>44561</v>
      </c>
      <c r="O138" s="483">
        <f>+R138+U138+X138+AA138+AD138+AG138+AJ138+AM138+AP138+AS138+AV138+AY138</f>
        <v>1.9302999999999999</v>
      </c>
      <c r="P138" s="489">
        <v>0.5</v>
      </c>
      <c r="Q138" s="483">
        <v>0</v>
      </c>
      <c r="R138" s="489">
        <v>0</v>
      </c>
      <c r="S138" s="490"/>
      <c r="T138" s="483">
        <v>0</v>
      </c>
      <c r="U138" s="487">
        <v>0</v>
      </c>
      <c r="V138" s="490"/>
      <c r="W138" s="483">
        <v>0</v>
      </c>
      <c r="X138" s="487">
        <v>0</v>
      </c>
      <c r="Y138" s="490"/>
      <c r="Z138" s="483">
        <v>0</v>
      </c>
      <c r="AA138" s="485">
        <v>0.52829999999999999</v>
      </c>
      <c r="AB138" s="483" t="s">
        <v>1316</v>
      </c>
      <c r="AC138" s="483">
        <v>0</v>
      </c>
      <c r="AD138" s="493">
        <v>0.67500000000000004</v>
      </c>
      <c r="AE138" s="483"/>
      <c r="AF138" s="483">
        <v>0</v>
      </c>
      <c r="AG138" s="485">
        <v>0.72699999999999998</v>
      </c>
      <c r="AH138" s="455" t="s">
        <v>1317</v>
      </c>
      <c r="AI138" s="483">
        <v>0</v>
      </c>
      <c r="AJ138" s="483"/>
      <c r="AK138" s="483"/>
      <c r="AL138" s="483">
        <v>0</v>
      </c>
      <c r="AM138" s="483"/>
      <c r="AN138" s="483"/>
      <c r="AO138" s="483">
        <v>0</v>
      </c>
      <c r="AP138" s="483"/>
      <c r="AQ138" s="483"/>
      <c r="AR138" s="483">
        <v>0</v>
      </c>
      <c r="AS138" s="483"/>
      <c r="AT138" s="483"/>
      <c r="AU138" s="483">
        <v>0</v>
      </c>
      <c r="AV138" s="483"/>
      <c r="AW138" s="483"/>
      <c r="AX138" s="489">
        <v>0.5</v>
      </c>
      <c r="AY138" s="486"/>
      <c r="AZ138" s="486"/>
      <c r="BA138" s="486">
        <f t="shared" si="7"/>
        <v>0</v>
      </c>
      <c r="BB138" s="512">
        <f>+AD138</f>
        <v>0.67500000000000004</v>
      </c>
      <c r="BC138" s="495">
        <f>+IF(BA138=0,+IF(BB138=0,"No programación, No avance",+IF(BB138&gt;0,+IF(BA138=0,BB138/P138))),BB138/BA138)</f>
        <v>1.35</v>
      </c>
    </row>
    <row r="139" spans="1:56" s="2" customFormat="1" ht="24" customHeight="1">
      <c r="A139" s="700" t="s">
        <v>17</v>
      </c>
      <c r="B139" s="714">
        <v>41.9</v>
      </c>
      <c r="C139" s="705" t="s">
        <v>178</v>
      </c>
      <c r="D139" s="705" t="s">
        <v>1319</v>
      </c>
      <c r="E139" s="429" t="s">
        <v>1320</v>
      </c>
      <c r="F139" s="429" t="s">
        <v>531</v>
      </c>
      <c r="G139" s="429">
        <v>0.1</v>
      </c>
      <c r="H139" s="429" t="s">
        <v>179</v>
      </c>
      <c r="I139" s="429" t="s">
        <v>73</v>
      </c>
      <c r="J139" s="429" t="s">
        <v>1321</v>
      </c>
      <c r="K139" s="429" t="s">
        <v>1322</v>
      </c>
      <c r="L139" s="429" t="s">
        <v>1323</v>
      </c>
      <c r="M139" s="430">
        <v>44197</v>
      </c>
      <c r="N139" s="430">
        <v>44561</v>
      </c>
      <c r="O139" s="429">
        <f>+R139+U139+X139+AA139+AD139+AG139+AJ139+AM139+AP139+AS139+AV139+AY139</f>
        <v>9</v>
      </c>
      <c r="P139" s="429">
        <v>80</v>
      </c>
      <c r="Q139" s="429">
        <v>0</v>
      </c>
      <c r="R139" s="429">
        <v>0</v>
      </c>
      <c r="S139" s="429" t="s">
        <v>1324</v>
      </c>
      <c r="T139" s="429">
        <v>0</v>
      </c>
      <c r="U139" s="429">
        <v>0</v>
      </c>
      <c r="V139" s="429" t="s">
        <v>1325</v>
      </c>
      <c r="W139" s="429">
        <v>0</v>
      </c>
      <c r="X139" s="429">
        <v>0</v>
      </c>
      <c r="Y139" s="432" t="s">
        <v>1326</v>
      </c>
      <c r="Z139" s="429">
        <v>0</v>
      </c>
      <c r="AA139" s="429">
        <v>0</v>
      </c>
      <c r="AB139" s="432" t="s">
        <v>1327</v>
      </c>
      <c r="AC139" s="429">
        <v>0</v>
      </c>
      <c r="AD139" s="429">
        <v>4</v>
      </c>
      <c r="AE139" s="432" t="s">
        <v>1328</v>
      </c>
      <c r="AF139" s="429">
        <v>40</v>
      </c>
      <c r="AG139" s="429">
        <v>5</v>
      </c>
      <c r="AH139" s="436" t="s">
        <v>1329</v>
      </c>
      <c r="AI139" s="429">
        <v>0</v>
      </c>
      <c r="AJ139" s="429"/>
      <c r="AK139" s="429"/>
      <c r="AL139" s="429">
        <v>0</v>
      </c>
      <c r="AM139" s="429"/>
      <c r="AN139" s="429"/>
      <c r="AO139" s="429">
        <v>0</v>
      </c>
      <c r="AP139" s="429"/>
      <c r="AQ139" s="429"/>
      <c r="AR139" s="429">
        <v>0</v>
      </c>
      <c r="AS139" s="429"/>
      <c r="AT139" s="429"/>
      <c r="AU139" s="429">
        <v>0</v>
      </c>
      <c r="AV139" s="429"/>
      <c r="AW139" s="429"/>
      <c r="AX139" s="429">
        <v>40</v>
      </c>
      <c r="AY139" s="431"/>
      <c r="AZ139" s="431"/>
      <c r="BA139" s="435">
        <f t="shared" ref="BA139:BA202" si="8">+Q139+T139+W139+Z139+AC139+AF139</f>
        <v>40</v>
      </c>
      <c r="BB139" s="435">
        <f t="shared" ref="BB139:BB202" si="9">+R139+U139+X139+AA139+AD139+AG139</f>
        <v>9</v>
      </c>
      <c r="BC139" s="497">
        <f>+IF(BA139=0,+IF(BB139=0,"No programación, No avance",+IF(BB139&gt;0,+IF(BA139=0,BB139/P139))),BB139/BA139)</f>
        <v>0.22500000000000001</v>
      </c>
      <c r="BD139" s="2">
        <f>+AVERAGE(BC139:BC184)</f>
        <v>1.1344666666666667</v>
      </c>
    </row>
    <row r="140" spans="1:56" s="2" customFormat="1" ht="52.5" customHeight="1">
      <c r="A140" s="701"/>
      <c r="B140" s="715"/>
      <c r="C140" s="706"/>
      <c r="D140" s="706"/>
      <c r="E140" s="433" t="s">
        <v>1331</v>
      </c>
      <c r="F140" s="433" t="s">
        <v>531</v>
      </c>
      <c r="G140" s="433">
        <v>0.2</v>
      </c>
      <c r="H140" s="433" t="s">
        <v>179</v>
      </c>
      <c r="I140" s="433" t="s">
        <v>73</v>
      </c>
      <c r="J140" s="433" t="s">
        <v>1332</v>
      </c>
      <c r="K140" s="433" t="s">
        <v>1322</v>
      </c>
      <c r="L140" s="433" t="s">
        <v>1323</v>
      </c>
      <c r="M140" s="434">
        <v>44197</v>
      </c>
      <c r="N140" s="434">
        <v>44561</v>
      </c>
      <c r="O140" s="433">
        <f>+R140+U140+X140+AA140+AD140+AG140+AJ140+AM140+AP140+AS140+AV140+AY140</f>
        <v>0</v>
      </c>
      <c r="P140" s="433">
        <v>2</v>
      </c>
      <c r="Q140" s="433">
        <v>0</v>
      </c>
      <c r="R140" s="433">
        <v>0</v>
      </c>
      <c r="S140" s="433" t="s">
        <v>1333</v>
      </c>
      <c r="T140" s="433">
        <v>0</v>
      </c>
      <c r="U140" s="433">
        <v>0</v>
      </c>
      <c r="V140" s="433" t="s">
        <v>1334</v>
      </c>
      <c r="W140" s="433">
        <v>0</v>
      </c>
      <c r="X140" s="433">
        <v>0</v>
      </c>
      <c r="Y140" s="436" t="s">
        <v>1335</v>
      </c>
      <c r="Z140" s="433">
        <v>0</v>
      </c>
      <c r="AA140" s="433">
        <v>0</v>
      </c>
      <c r="AB140" s="436" t="s">
        <v>1336</v>
      </c>
      <c r="AC140" s="433">
        <v>0</v>
      </c>
      <c r="AD140" s="433">
        <v>0</v>
      </c>
      <c r="AE140" s="436" t="s">
        <v>1337</v>
      </c>
      <c r="AF140" s="433">
        <v>1</v>
      </c>
      <c r="AG140" s="498">
        <v>0</v>
      </c>
      <c r="AH140" s="513" t="s">
        <v>1338</v>
      </c>
      <c r="AI140" s="433">
        <v>0</v>
      </c>
      <c r="AJ140" s="433"/>
      <c r="AK140" s="433"/>
      <c r="AL140" s="433">
        <v>0</v>
      </c>
      <c r="AM140" s="433"/>
      <c r="AN140" s="433"/>
      <c r="AO140" s="433">
        <v>0</v>
      </c>
      <c r="AP140" s="433"/>
      <c r="AQ140" s="433"/>
      <c r="AR140" s="433">
        <v>0</v>
      </c>
      <c r="AS140" s="433"/>
      <c r="AT140" s="433"/>
      <c r="AU140" s="433">
        <v>0</v>
      </c>
      <c r="AV140" s="433"/>
      <c r="AW140" s="433"/>
      <c r="AX140" s="433">
        <v>0</v>
      </c>
      <c r="AY140" s="435"/>
      <c r="AZ140" s="435"/>
      <c r="BA140" s="435">
        <f t="shared" si="8"/>
        <v>1</v>
      </c>
      <c r="BB140" s="435">
        <f t="shared" si="9"/>
        <v>0</v>
      </c>
      <c r="BC140" s="500">
        <f>+IF(BA140=0,+IF(BB140=0,"No programación, No avance",+IF(BB140&gt;0,+IF(BA140=0,BB140/P140))),BB140/BA140)</f>
        <v>0</v>
      </c>
    </row>
    <row r="141" spans="1:56" s="2" customFormat="1" ht="52.5" customHeight="1">
      <c r="A141" s="701"/>
      <c r="B141" s="715"/>
      <c r="C141" s="706"/>
      <c r="D141" s="706"/>
      <c r="E141" s="433" t="s">
        <v>1340</v>
      </c>
      <c r="F141" s="433" t="s">
        <v>531</v>
      </c>
      <c r="G141" s="433">
        <v>0.1</v>
      </c>
      <c r="H141" s="433" t="s">
        <v>179</v>
      </c>
      <c r="I141" s="433" t="s">
        <v>73</v>
      </c>
      <c r="J141" s="433" t="s">
        <v>1341</v>
      </c>
      <c r="K141" s="433" t="s">
        <v>1322</v>
      </c>
      <c r="L141" s="433" t="s">
        <v>1323</v>
      </c>
      <c r="M141" s="434">
        <v>44197</v>
      </c>
      <c r="N141" s="434">
        <v>44561</v>
      </c>
      <c r="O141" s="433">
        <f>+R141+U141+X141+AA141+AD141+AG141+AJ141+AM141+AP141+AS141+AV141+AY141</f>
        <v>5</v>
      </c>
      <c r="P141" s="433">
        <v>1</v>
      </c>
      <c r="Q141" s="433">
        <v>0</v>
      </c>
      <c r="R141" s="433">
        <v>1</v>
      </c>
      <c r="S141" s="433" t="s">
        <v>1342</v>
      </c>
      <c r="T141" s="433">
        <v>0</v>
      </c>
      <c r="U141" s="433">
        <v>1</v>
      </c>
      <c r="V141" s="433" t="s">
        <v>1343</v>
      </c>
      <c r="W141" s="433">
        <v>0</v>
      </c>
      <c r="X141" s="433">
        <v>0</v>
      </c>
      <c r="Y141" s="436" t="s">
        <v>1344</v>
      </c>
      <c r="Z141" s="433">
        <v>1</v>
      </c>
      <c r="AA141" s="433">
        <v>2</v>
      </c>
      <c r="AB141" s="436" t="s">
        <v>1345</v>
      </c>
      <c r="AC141" s="433">
        <v>1</v>
      </c>
      <c r="AD141" s="433">
        <v>1</v>
      </c>
      <c r="AE141" s="436" t="s">
        <v>1346</v>
      </c>
      <c r="AF141" s="433">
        <v>0</v>
      </c>
      <c r="AG141" s="498">
        <v>0</v>
      </c>
      <c r="AH141" s="513" t="s">
        <v>1347</v>
      </c>
      <c r="AI141" s="433">
        <v>0</v>
      </c>
      <c r="AJ141" s="433"/>
      <c r="AK141" s="433"/>
      <c r="AL141" s="433">
        <v>0</v>
      </c>
      <c r="AM141" s="433"/>
      <c r="AN141" s="433"/>
      <c r="AO141" s="433">
        <v>0</v>
      </c>
      <c r="AP141" s="433"/>
      <c r="AQ141" s="433"/>
      <c r="AR141" s="433">
        <v>0</v>
      </c>
      <c r="AS141" s="433"/>
      <c r="AT141" s="433"/>
      <c r="AU141" s="433">
        <v>0</v>
      </c>
      <c r="AV141" s="433"/>
      <c r="AW141" s="433"/>
      <c r="AX141" s="433">
        <v>0</v>
      </c>
      <c r="AY141" s="435"/>
      <c r="AZ141" s="435"/>
      <c r="BA141" s="435">
        <f t="shared" si="8"/>
        <v>2</v>
      </c>
      <c r="BB141" s="435">
        <f t="shared" si="9"/>
        <v>5</v>
      </c>
      <c r="BC141" s="500">
        <f>+IF(BA141=0,+IF(BB141=0,"No programación, No avance",+IF(BB141&gt;0,+IF(BA141=0,BB141/P141))),BB141/BA141)</f>
        <v>2.5</v>
      </c>
    </row>
    <row r="142" spans="1:56" s="2" customFormat="1" ht="52.5" customHeight="1">
      <c r="A142" s="701"/>
      <c r="B142" s="715"/>
      <c r="C142" s="706"/>
      <c r="D142" s="706"/>
      <c r="E142" s="433" t="s">
        <v>1349</v>
      </c>
      <c r="F142" s="433" t="s">
        <v>531</v>
      </c>
      <c r="G142" s="433">
        <v>0.1</v>
      </c>
      <c r="H142" s="433" t="s">
        <v>179</v>
      </c>
      <c r="I142" s="433" t="s">
        <v>73</v>
      </c>
      <c r="J142" s="433" t="s">
        <v>1341</v>
      </c>
      <c r="K142" s="433" t="s">
        <v>1322</v>
      </c>
      <c r="L142" s="433" t="s">
        <v>1323</v>
      </c>
      <c r="M142" s="434">
        <v>44197</v>
      </c>
      <c r="N142" s="434">
        <v>44561</v>
      </c>
      <c r="O142" s="433">
        <f>+R142+U142+X142+AA142+AD142+AG142+AJ142+AM142+AP142+AS142+AV142+AY142</f>
        <v>0</v>
      </c>
      <c r="P142" s="433">
        <v>2</v>
      </c>
      <c r="Q142" s="433">
        <v>0</v>
      </c>
      <c r="R142" s="433">
        <v>0</v>
      </c>
      <c r="S142" s="433" t="s">
        <v>1350</v>
      </c>
      <c r="T142" s="433">
        <v>0</v>
      </c>
      <c r="U142" s="433">
        <v>0</v>
      </c>
      <c r="V142" s="433" t="s">
        <v>1351</v>
      </c>
      <c r="W142" s="433">
        <v>0</v>
      </c>
      <c r="X142" s="433">
        <v>0</v>
      </c>
      <c r="Y142" s="436" t="s">
        <v>1352</v>
      </c>
      <c r="Z142" s="433">
        <v>0</v>
      </c>
      <c r="AA142" s="433">
        <v>0</v>
      </c>
      <c r="AB142" s="436" t="s">
        <v>1353</v>
      </c>
      <c r="AC142" s="433">
        <v>0</v>
      </c>
      <c r="AD142" s="433">
        <v>0</v>
      </c>
      <c r="AE142" s="436" t="s">
        <v>1354</v>
      </c>
      <c r="AF142" s="433">
        <v>1</v>
      </c>
      <c r="AG142" s="498">
        <v>0</v>
      </c>
      <c r="AH142" s="513" t="s">
        <v>1355</v>
      </c>
      <c r="AI142" s="433">
        <v>0</v>
      </c>
      <c r="AJ142" s="433"/>
      <c r="AK142" s="433"/>
      <c r="AL142" s="433">
        <v>0</v>
      </c>
      <c r="AM142" s="433"/>
      <c r="AN142" s="433"/>
      <c r="AO142" s="433">
        <v>0</v>
      </c>
      <c r="AP142" s="433"/>
      <c r="AQ142" s="433"/>
      <c r="AR142" s="433">
        <v>0</v>
      </c>
      <c r="AS142" s="433"/>
      <c r="AT142" s="433"/>
      <c r="AU142" s="433">
        <v>0</v>
      </c>
      <c r="AV142" s="433"/>
      <c r="AW142" s="433"/>
      <c r="AX142" s="433">
        <v>1</v>
      </c>
      <c r="AY142" s="435"/>
      <c r="AZ142" s="435"/>
      <c r="BA142" s="435">
        <f t="shared" si="8"/>
        <v>1</v>
      </c>
      <c r="BB142" s="435">
        <f t="shared" si="9"/>
        <v>0</v>
      </c>
      <c r="BC142" s="500">
        <f>+IF(BA142=0,+IF(BB142=0,"No programación, No avance",+IF(BB142&gt;0,+IF(BA142=0,BB142/P142))),BB142/BA142)</f>
        <v>0</v>
      </c>
    </row>
    <row r="143" spans="1:56" s="2" customFormat="1" ht="52.5" customHeight="1">
      <c r="A143" s="701"/>
      <c r="B143" s="715"/>
      <c r="C143" s="706"/>
      <c r="D143" s="706"/>
      <c r="E143" s="433" t="s">
        <v>1357</v>
      </c>
      <c r="F143" s="433" t="s">
        <v>531</v>
      </c>
      <c r="G143" s="433">
        <v>0.1</v>
      </c>
      <c r="H143" s="433" t="s">
        <v>179</v>
      </c>
      <c r="I143" s="433" t="s">
        <v>73</v>
      </c>
      <c r="J143" s="433" t="s">
        <v>518</v>
      </c>
      <c r="K143" s="433" t="s">
        <v>1322</v>
      </c>
      <c r="L143" s="433" t="s">
        <v>1323</v>
      </c>
      <c r="M143" s="434">
        <v>44197</v>
      </c>
      <c r="N143" s="434">
        <v>44561</v>
      </c>
      <c r="O143" s="433">
        <f>+R143+U143+X143+AA143+AD143+AG143+AJ143+AM143+AP143+AS143+AV143+AY143</f>
        <v>0</v>
      </c>
      <c r="P143" s="433">
        <v>500</v>
      </c>
      <c r="Q143" s="433">
        <v>0</v>
      </c>
      <c r="R143" s="433">
        <v>0</v>
      </c>
      <c r="S143" s="433" t="s">
        <v>1358</v>
      </c>
      <c r="T143" s="433">
        <v>0</v>
      </c>
      <c r="U143" s="433">
        <v>0</v>
      </c>
      <c r="V143" s="433" t="s">
        <v>1359</v>
      </c>
      <c r="W143" s="433">
        <v>50</v>
      </c>
      <c r="X143" s="433">
        <v>0</v>
      </c>
      <c r="Y143" s="436" t="s">
        <v>1360</v>
      </c>
      <c r="Z143" s="433">
        <v>50</v>
      </c>
      <c r="AA143" s="433">
        <v>0</v>
      </c>
      <c r="AB143" s="436" t="s">
        <v>1361</v>
      </c>
      <c r="AC143" s="433">
        <v>50</v>
      </c>
      <c r="AD143" s="433">
        <v>0</v>
      </c>
      <c r="AE143" s="436" t="s">
        <v>1362</v>
      </c>
      <c r="AF143" s="433">
        <v>50</v>
      </c>
      <c r="AG143" s="498">
        <v>0</v>
      </c>
      <c r="AH143" s="499" t="s">
        <v>1363</v>
      </c>
      <c r="AI143" s="433">
        <v>50</v>
      </c>
      <c r="AJ143" s="433"/>
      <c r="AK143" s="433"/>
      <c r="AL143" s="433">
        <v>50</v>
      </c>
      <c r="AM143" s="433"/>
      <c r="AN143" s="433"/>
      <c r="AO143" s="433">
        <v>50</v>
      </c>
      <c r="AP143" s="433"/>
      <c r="AQ143" s="433"/>
      <c r="AR143" s="433">
        <v>50</v>
      </c>
      <c r="AS143" s="433"/>
      <c r="AT143" s="433"/>
      <c r="AU143" s="433">
        <v>50</v>
      </c>
      <c r="AV143" s="433"/>
      <c r="AW143" s="433"/>
      <c r="AX143" s="433">
        <v>50</v>
      </c>
      <c r="AY143" s="435"/>
      <c r="AZ143" s="435"/>
      <c r="BA143" s="435">
        <f t="shared" si="8"/>
        <v>200</v>
      </c>
      <c r="BB143" s="435">
        <f t="shared" si="9"/>
        <v>0</v>
      </c>
      <c r="BC143" s="500">
        <f>+IF(BA143=0,+IF(BB143=0,"No programación, No avance",+IF(BB143&gt;0,+IF(BA143=0,BB143/P143))),BB143/BA143)</f>
        <v>0</v>
      </c>
    </row>
    <row r="144" spans="1:56" s="2" customFormat="1" ht="52.5" customHeight="1">
      <c r="A144" s="701"/>
      <c r="B144" s="715"/>
      <c r="C144" s="706"/>
      <c r="D144" s="706"/>
      <c r="E144" s="433" t="s">
        <v>1365</v>
      </c>
      <c r="F144" s="433" t="s">
        <v>531</v>
      </c>
      <c r="G144" s="433">
        <v>0.1</v>
      </c>
      <c r="H144" s="433" t="s">
        <v>179</v>
      </c>
      <c r="I144" s="433" t="s">
        <v>73</v>
      </c>
      <c r="J144" s="433" t="s">
        <v>1321</v>
      </c>
      <c r="K144" s="433" t="s">
        <v>1322</v>
      </c>
      <c r="L144" s="433" t="s">
        <v>1323</v>
      </c>
      <c r="M144" s="434">
        <v>44197</v>
      </c>
      <c r="N144" s="434">
        <v>44561</v>
      </c>
      <c r="O144" s="433">
        <f>+R144+U144+X144+AA144+AD144+AG144+AJ144+AM144+AP144+AS144+AV144+AY144</f>
        <v>0</v>
      </c>
      <c r="P144" s="433">
        <v>300</v>
      </c>
      <c r="Q144" s="433">
        <v>0</v>
      </c>
      <c r="R144" s="433">
        <v>0</v>
      </c>
      <c r="S144" s="433" t="s">
        <v>1366</v>
      </c>
      <c r="T144" s="433">
        <v>0</v>
      </c>
      <c r="U144" s="433">
        <v>0</v>
      </c>
      <c r="V144" s="433" t="s">
        <v>1367</v>
      </c>
      <c r="W144" s="433">
        <v>0</v>
      </c>
      <c r="X144" s="433">
        <v>0</v>
      </c>
      <c r="Y144" s="436" t="s">
        <v>1368</v>
      </c>
      <c r="Z144" s="433">
        <v>0</v>
      </c>
      <c r="AA144" s="433">
        <v>0</v>
      </c>
      <c r="AB144" s="436" t="s">
        <v>1369</v>
      </c>
      <c r="AC144" s="433">
        <v>0</v>
      </c>
      <c r="AD144" s="433">
        <v>0</v>
      </c>
      <c r="AE144" s="436" t="s">
        <v>1370</v>
      </c>
      <c r="AF144" s="433">
        <v>0</v>
      </c>
      <c r="AG144" s="498">
        <v>0</v>
      </c>
      <c r="AH144" s="499" t="s">
        <v>1371</v>
      </c>
      <c r="AI144" s="433">
        <v>0</v>
      </c>
      <c r="AJ144" s="433"/>
      <c r="AK144" s="433"/>
      <c r="AL144" s="433">
        <v>0</v>
      </c>
      <c r="AM144" s="433"/>
      <c r="AN144" s="433"/>
      <c r="AO144" s="433">
        <v>150</v>
      </c>
      <c r="AP144" s="433"/>
      <c r="AQ144" s="433"/>
      <c r="AR144" s="433">
        <v>0</v>
      </c>
      <c r="AS144" s="433"/>
      <c r="AT144" s="433"/>
      <c r="AU144" s="433">
        <v>150</v>
      </c>
      <c r="AV144" s="433"/>
      <c r="AW144" s="433"/>
      <c r="AX144" s="433">
        <v>0</v>
      </c>
      <c r="AY144" s="435"/>
      <c r="AZ144" s="435"/>
      <c r="BA144" s="435">
        <f t="shared" si="8"/>
        <v>0</v>
      </c>
      <c r="BB144" s="435">
        <f t="shared" si="9"/>
        <v>0</v>
      </c>
      <c r="BC144" s="500" t="str">
        <f>+IF(BA144=0,+IF(BB144=0,"No programación, No avance",+IF(BB144&gt;0,+IF(BA144=0,BB144/P144))),BB144/BA144)</f>
        <v>No programación, No avance</v>
      </c>
    </row>
    <row r="145" spans="1:56" s="2" customFormat="1" ht="52.5" customHeight="1">
      <c r="A145" s="701"/>
      <c r="B145" s="715"/>
      <c r="C145" s="706"/>
      <c r="D145" s="706"/>
      <c r="E145" s="433" t="s">
        <v>1373</v>
      </c>
      <c r="F145" s="433" t="s">
        <v>531</v>
      </c>
      <c r="G145" s="433">
        <v>0.1</v>
      </c>
      <c r="H145" s="433" t="s">
        <v>179</v>
      </c>
      <c r="I145" s="433" t="s">
        <v>73</v>
      </c>
      <c r="J145" s="433" t="s">
        <v>1374</v>
      </c>
      <c r="K145" s="433" t="s">
        <v>1322</v>
      </c>
      <c r="L145" s="433" t="s">
        <v>1323</v>
      </c>
      <c r="M145" s="434">
        <v>44197</v>
      </c>
      <c r="N145" s="434">
        <v>44561</v>
      </c>
      <c r="O145" s="433">
        <f>+R145+U145+X145+AA145+AD145+AG145+AJ145+AM145+AP145+AS145+AV145+AY145</f>
        <v>0</v>
      </c>
      <c r="P145" s="433">
        <v>1</v>
      </c>
      <c r="Q145" s="433">
        <v>0</v>
      </c>
      <c r="R145" s="433">
        <v>0</v>
      </c>
      <c r="S145" s="433" t="s">
        <v>1375</v>
      </c>
      <c r="T145" s="433">
        <v>0</v>
      </c>
      <c r="U145" s="433">
        <v>0</v>
      </c>
      <c r="V145" s="433" t="s">
        <v>1366</v>
      </c>
      <c r="W145" s="433">
        <v>0</v>
      </c>
      <c r="X145" s="433">
        <v>0</v>
      </c>
      <c r="Y145" s="436" t="s">
        <v>1376</v>
      </c>
      <c r="Z145" s="433">
        <v>0</v>
      </c>
      <c r="AA145" s="433">
        <v>0</v>
      </c>
      <c r="AB145" s="436" t="s">
        <v>1377</v>
      </c>
      <c r="AC145" s="433">
        <v>0</v>
      </c>
      <c r="AD145" s="433">
        <v>0</v>
      </c>
      <c r="AE145" s="436" t="s">
        <v>1378</v>
      </c>
      <c r="AF145" s="433">
        <v>0</v>
      </c>
      <c r="AG145" s="498">
        <v>0</v>
      </c>
      <c r="AH145" s="513" t="s">
        <v>1379</v>
      </c>
      <c r="AI145" s="433">
        <v>0</v>
      </c>
      <c r="AJ145" s="433"/>
      <c r="AK145" s="433"/>
      <c r="AL145" s="433">
        <v>0</v>
      </c>
      <c r="AM145" s="433"/>
      <c r="AN145" s="433"/>
      <c r="AO145" s="433">
        <v>1</v>
      </c>
      <c r="AP145" s="433"/>
      <c r="AQ145" s="433"/>
      <c r="AR145" s="433">
        <v>0</v>
      </c>
      <c r="AS145" s="433"/>
      <c r="AT145" s="433"/>
      <c r="AU145" s="433">
        <v>0</v>
      </c>
      <c r="AV145" s="433"/>
      <c r="AW145" s="433"/>
      <c r="AX145" s="433">
        <v>0</v>
      </c>
      <c r="AY145" s="435"/>
      <c r="AZ145" s="435"/>
      <c r="BA145" s="435">
        <f t="shared" si="8"/>
        <v>0</v>
      </c>
      <c r="BB145" s="435">
        <f t="shared" si="9"/>
        <v>0</v>
      </c>
      <c r="BC145" s="500" t="str">
        <f>+IF(BA145=0,+IF(BB145=0,"No programación, No avance",+IF(BB145&gt;0,+IF(BA145=0,BB145/P145))),BB145/BA145)</f>
        <v>No programación, No avance</v>
      </c>
    </row>
    <row r="146" spans="1:56" s="2" customFormat="1" ht="52.5" customHeight="1">
      <c r="A146" s="701"/>
      <c r="B146" s="715"/>
      <c r="C146" s="706"/>
      <c r="D146" s="706"/>
      <c r="E146" s="433" t="s">
        <v>1381</v>
      </c>
      <c r="F146" s="433" t="s">
        <v>531</v>
      </c>
      <c r="G146" s="433">
        <v>0.1</v>
      </c>
      <c r="H146" s="433" t="s">
        <v>179</v>
      </c>
      <c r="I146" s="433" t="s">
        <v>73</v>
      </c>
      <c r="J146" s="433" t="s">
        <v>1382</v>
      </c>
      <c r="K146" s="433" t="s">
        <v>1322</v>
      </c>
      <c r="L146" s="433" t="s">
        <v>1323</v>
      </c>
      <c r="M146" s="434">
        <v>44197</v>
      </c>
      <c r="N146" s="434">
        <v>44561</v>
      </c>
      <c r="O146" s="433">
        <f>+R146+U146+X146+AA146+AD146+AG146+AJ146+AM146+AP146+AS146+AV146+AY146</f>
        <v>0</v>
      </c>
      <c r="P146" s="433">
        <v>1</v>
      </c>
      <c r="Q146" s="433">
        <v>0</v>
      </c>
      <c r="R146" s="433">
        <v>0</v>
      </c>
      <c r="S146" s="433" t="s">
        <v>1383</v>
      </c>
      <c r="T146" s="433">
        <v>0</v>
      </c>
      <c r="U146" s="433">
        <v>0</v>
      </c>
      <c r="V146" s="433" t="s">
        <v>1384</v>
      </c>
      <c r="W146" s="433">
        <v>0</v>
      </c>
      <c r="X146" s="433">
        <v>0</v>
      </c>
      <c r="Y146" s="436" t="s">
        <v>1385</v>
      </c>
      <c r="Z146" s="433">
        <v>0</v>
      </c>
      <c r="AA146" s="433">
        <v>0</v>
      </c>
      <c r="AB146" s="436" t="s">
        <v>1386</v>
      </c>
      <c r="AC146" s="433">
        <v>0</v>
      </c>
      <c r="AD146" s="433">
        <v>0</v>
      </c>
      <c r="AE146" s="436" t="s">
        <v>1071</v>
      </c>
      <c r="AF146" s="433">
        <v>0</v>
      </c>
      <c r="AG146" s="498">
        <v>0</v>
      </c>
      <c r="AH146" s="513" t="s">
        <v>1387</v>
      </c>
      <c r="AI146" s="433">
        <v>1</v>
      </c>
      <c r="AJ146" s="433"/>
      <c r="AK146" s="433"/>
      <c r="AL146" s="433">
        <v>0</v>
      </c>
      <c r="AM146" s="433"/>
      <c r="AN146" s="433"/>
      <c r="AO146" s="433">
        <v>0</v>
      </c>
      <c r="AP146" s="433"/>
      <c r="AQ146" s="433"/>
      <c r="AR146" s="433">
        <v>0</v>
      </c>
      <c r="AS146" s="433"/>
      <c r="AT146" s="433"/>
      <c r="AU146" s="433">
        <v>0</v>
      </c>
      <c r="AV146" s="433"/>
      <c r="AW146" s="433"/>
      <c r="AX146" s="433">
        <v>0</v>
      </c>
      <c r="AY146" s="435"/>
      <c r="AZ146" s="435"/>
      <c r="BA146" s="435">
        <f t="shared" si="8"/>
        <v>0</v>
      </c>
      <c r="BB146" s="435">
        <f t="shared" si="9"/>
        <v>0</v>
      </c>
      <c r="BC146" s="500" t="str">
        <f>+IF(BA146=0,+IF(BB146=0,"No programación, No avance",+IF(BB146&gt;0,+IF(BA146=0,BB146/P146))),BB146/BA146)</f>
        <v>No programación, No avance</v>
      </c>
    </row>
    <row r="147" spans="1:56" s="2" customFormat="1" ht="52.5" customHeight="1">
      <c r="A147" s="701"/>
      <c r="B147" s="715"/>
      <c r="C147" s="706"/>
      <c r="D147" s="706"/>
      <c r="E147" s="433" t="s">
        <v>1389</v>
      </c>
      <c r="F147" s="433" t="s">
        <v>531</v>
      </c>
      <c r="G147" s="433">
        <v>0.1</v>
      </c>
      <c r="H147" s="433" t="s">
        <v>179</v>
      </c>
      <c r="I147" s="433" t="s">
        <v>73</v>
      </c>
      <c r="J147" s="433" t="s">
        <v>1390</v>
      </c>
      <c r="K147" s="433" t="s">
        <v>1322</v>
      </c>
      <c r="L147" s="433" t="s">
        <v>1323</v>
      </c>
      <c r="M147" s="434">
        <v>44197</v>
      </c>
      <c r="N147" s="434">
        <v>44561</v>
      </c>
      <c r="O147" s="433">
        <f>+R147+U147+X147+AA147+AD147+AG147+AJ147+AM147+AP147+AS147+AV147+AY147</f>
        <v>0</v>
      </c>
      <c r="P147" s="433">
        <v>1</v>
      </c>
      <c r="Q147" s="433">
        <v>0</v>
      </c>
      <c r="R147" s="433">
        <v>0</v>
      </c>
      <c r="S147" s="433" t="s">
        <v>1391</v>
      </c>
      <c r="T147" s="433">
        <v>0</v>
      </c>
      <c r="U147" s="433">
        <v>0</v>
      </c>
      <c r="V147" s="433" t="s">
        <v>1392</v>
      </c>
      <c r="W147" s="433">
        <v>0</v>
      </c>
      <c r="X147" s="433">
        <v>0</v>
      </c>
      <c r="Y147" s="436" t="s">
        <v>1393</v>
      </c>
      <c r="Z147" s="433">
        <v>0</v>
      </c>
      <c r="AA147" s="433">
        <v>0</v>
      </c>
      <c r="AB147" s="436" t="s">
        <v>1394</v>
      </c>
      <c r="AC147" s="433">
        <v>0</v>
      </c>
      <c r="AD147" s="433">
        <v>0</v>
      </c>
      <c r="AE147" s="436" t="s">
        <v>1395</v>
      </c>
      <c r="AF147" s="433">
        <v>0</v>
      </c>
      <c r="AG147" s="498">
        <v>0</v>
      </c>
      <c r="AH147" s="513" t="s">
        <v>1396</v>
      </c>
      <c r="AI147" s="433">
        <v>0</v>
      </c>
      <c r="AJ147" s="433"/>
      <c r="AK147" s="433"/>
      <c r="AL147" s="433">
        <v>0</v>
      </c>
      <c r="AM147" s="433"/>
      <c r="AN147" s="433"/>
      <c r="AO147" s="433">
        <v>1</v>
      </c>
      <c r="AP147" s="433"/>
      <c r="AQ147" s="433"/>
      <c r="AR147" s="433">
        <v>0</v>
      </c>
      <c r="AS147" s="433"/>
      <c r="AT147" s="433"/>
      <c r="AU147" s="433">
        <v>0</v>
      </c>
      <c r="AV147" s="433"/>
      <c r="AW147" s="433"/>
      <c r="AX147" s="433">
        <v>0</v>
      </c>
      <c r="AY147" s="435"/>
      <c r="AZ147" s="435"/>
      <c r="BA147" s="435">
        <f t="shared" si="8"/>
        <v>0</v>
      </c>
      <c r="BB147" s="435">
        <f t="shared" si="9"/>
        <v>0</v>
      </c>
      <c r="BC147" s="500" t="str">
        <f>+IF(BA147=0,+IF(BB147=0,"No programación, No avance",+IF(BB147&gt;0,+IF(BA147=0,BB147/P147))),BB147/BA147)</f>
        <v>No programación, No avance</v>
      </c>
    </row>
    <row r="148" spans="1:56" s="2" customFormat="1" ht="52.5" customHeight="1">
      <c r="A148" s="701"/>
      <c r="B148" s="715"/>
      <c r="C148" s="706" t="s">
        <v>181</v>
      </c>
      <c r="D148" s="706" t="s">
        <v>1398</v>
      </c>
      <c r="E148" s="433" t="s">
        <v>1399</v>
      </c>
      <c r="F148" s="433" t="s">
        <v>531</v>
      </c>
      <c r="G148" s="433">
        <v>0.1</v>
      </c>
      <c r="H148" s="433" t="s">
        <v>179</v>
      </c>
      <c r="I148" s="433" t="s">
        <v>73</v>
      </c>
      <c r="J148" s="433" t="s">
        <v>1400</v>
      </c>
      <c r="K148" s="433" t="s">
        <v>1322</v>
      </c>
      <c r="L148" s="433" t="s">
        <v>1323</v>
      </c>
      <c r="M148" s="434">
        <v>44197</v>
      </c>
      <c r="N148" s="434">
        <v>44561</v>
      </c>
      <c r="O148" s="433">
        <f>+R148+U148+X148+AA148+AD148+AG148+AJ148+AM148+AP148+AS148+AV148+AY148</f>
        <v>5</v>
      </c>
      <c r="P148" s="433">
        <v>2</v>
      </c>
      <c r="Q148" s="433">
        <v>0</v>
      </c>
      <c r="R148" s="433">
        <v>0</v>
      </c>
      <c r="S148" s="433" t="s">
        <v>1401</v>
      </c>
      <c r="T148" s="433">
        <v>0</v>
      </c>
      <c r="U148" s="433">
        <v>0</v>
      </c>
      <c r="V148" s="433" t="s">
        <v>1402</v>
      </c>
      <c r="W148" s="433">
        <v>0</v>
      </c>
      <c r="X148" s="433">
        <v>2</v>
      </c>
      <c r="Y148" s="436" t="s">
        <v>1403</v>
      </c>
      <c r="Z148" s="433">
        <v>0</v>
      </c>
      <c r="AA148" s="433">
        <v>1</v>
      </c>
      <c r="AB148" s="436" t="s">
        <v>1404</v>
      </c>
      <c r="AC148" s="433">
        <v>1</v>
      </c>
      <c r="AD148" s="433">
        <v>1</v>
      </c>
      <c r="AE148" s="436" t="s">
        <v>1405</v>
      </c>
      <c r="AF148" s="433">
        <v>0</v>
      </c>
      <c r="AG148" s="498">
        <v>1</v>
      </c>
      <c r="AH148" s="513" t="s">
        <v>1406</v>
      </c>
      <c r="AI148" s="433">
        <v>1</v>
      </c>
      <c r="AJ148" s="433"/>
      <c r="AK148" s="433"/>
      <c r="AL148" s="433">
        <v>0</v>
      </c>
      <c r="AM148" s="433"/>
      <c r="AN148" s="433"/>
      <c r="AO148" s="433">
        <v>0</v>
      </c>
      <c r="AP148" s="433"/>
      <c r="AQ148" s="433"/>
      <c r="AR148" s="433">
        <v>0</v>
      </c>
      <c r="AS148" s="433"/>
      <c r="AT148" s="433"/>
      <c r="AU148" s="433">
        <v>0</v>
      </c>
      <c r="AV148" s="433"/>
      <c r="AW148" s="433"/>
      <c r="AX148" s="433">
        <v>0</v>
      </c>
      <c r="AY148" s="435"/>
      <c r="AZ148" s="435"/>
      <c r="BA148" s="435">
        <f t="shared" si="8"/>
        <v>1</v>
      </c>
      <c r="BB148" s="435">
        <f t="shared" si="9"/>
        <v>5</v>
      </c>
      <c r="BC148" s="500">
        <f>+IF(BA148=0,+IF(BB148=0,"No programación, No avance",+IF(BB148&gt;0,+IF(BA148=0,BB148/P148))),BB148/BA148)</f>
        <v>5</v>
      </c>
    </row>
    <row r="149" spans="1:56" s="2" customFormat="1" ht="52.5" customHeight="1">
      <c r="A149" s="701"/>
      <c r="B149" s="715"/>
      <c r="C149" s="706"/>
      <c r="D149" s="706"/>
      <c r="E149" s="433" t="s">
        <v>1408</v>
      </c>
      <c r="F149" s="433" t="s">
        <v>531</v>
      </c>
      <c r="G149" s="433">
        <v>0.1</v>
      </c>
      <c r="H149" s="433" t="s">
        <v>179</v>
      </c>
      <c r="I149" s="433" t="s">
        <v>73</v>
      </c>
      <c r="J149" s="433" t="s">
        <v>1409</v>
      </c>
      <c r="K149" s="433" t="s">
        <v>1322</v>
      </c>
      <c r="L149" s="433" t="s">
        <v>1323</v>
      </c>
      <c r="M149" s="434">
        <v>44197</v>
      </c>
      <c r="N149" s="434">
        <v>44561</v>
      </c>
      <c r="O149" s="433">
        <f>+R149+U149+X149+AA149+AD149+AG149+AJ149+AM149+AP149+AS149+AV149+AY149</f>
        <v>2</v>
      </c>
      <c r="P149" s="433">
        <v>1</v>
      </c>
      <c r="Q149" s="433">
        <v>0</v>
      </c>
      <c r="R149" s="433">
        <v>0</v>
      </c>
      <c r="S149" s="433" t="s">
        <v>1410</v>
      </c>
      <c r="T149" s="433">
        <v>0</v>
      </c>
      <c r="U149" s="433">
        <v>1</v>
      </c>
      <c r="V149" s="433" t="s">
        <v>1411</v>
      </c>
      <c r="W149" s="433">
        <v>0</v>
      </c>
      <c r="X149" s="433">
        <v>0</v>
      </c>
      <c r="Y149" s="436" t="s">
        <v>1412</v>
      </c>
      <c r="Z149" s="433">
        <v>0</v>
      </c>
      <c r="AA149" s="433">
        <v>0</v>
      </c>
      <c r="AB149" s="436" t="s">
        <v>1413</v>
      </c>
      <c r="AC149" s="433">
        <v>0</v>
      </c>
      <c r="AD149" s="433">
        <v>0</v>
      </c>
      <c r="AE149" s="436" t="s">
        <v>1414</v>
      </c>
      <c r="AF149" s="433">
        <v>0</v>
      </c>
      <c r="AG149" s="498">
        <v>1</v>
      </c>
      <c r="AH149" s="513" t="s">
        <v>1415</v>
      </c>
      <c r="AI149" s="433">
        <v>0</v>
      </c>
      <c r="AJ149" s="433"/>
      <c r="AK149" s="433"/>
      <c r="AL149" s="433">
        <v>0</v>
      </c>
      <c r="AM149" s="433"/>
      <c r="AN149" s="433"/>
      <c r="AO149" s="433">
        <v>1</v>
      </c>
      <c r="AP149" s="433"/>
      <c r="AQ149" s="433"/>
      <c r="AR149" s="433">
        <v>0</v>
      </c>
      <c r="AS149" s="433"/>
      <c r="AT149" s="433"/>
      <c r="AU149" s="433">
        <v>0</v>
      </c>
      <c r="AV149" s="433"/>
      <c r="AW149" s="433"/>
      <c r="AX149" s="433">
        <v>0</v>
      </c>
      <c r="AY149" s="435"/>
      <c r="AZ149" s="435"/>
      <c r="BA149" s="435">
        <f t="shared" si="8"/>
        <v>0</v>
      </c>
      <c r="BB149" s="435">
        <f t="shared" si="9"/>
        <v>2</v>
      </c>
      <c r="BC149" s="500">
        <f>+IF(BA149=0,+IF(BB149=0,"No programación, No avance",+IF(BB149&gt;0,+IF(BA149=0,BB149/P149))),BB149/BA149)</f>
        <v>2</v>
      </c>
    </row>
    <row r="150" spans="1:56" s="2" customFormat="1" ht="52.5" customHeight="1">
      <c r="A150" s="701"/>
      <c r="B150" s="715"/>
      <c r="C150" s="706"/>
      <c r="D150" s="706"/>
      <c r="E150" s="433" t="s">
        <v>1417</v>
      </c>
      <c r="F150" s="433" t="s">
        <v>531</v>
      </c>
      <c r="G150" s="433">
        <v>0.05</v>
      </c>
      <c r="H150" s="433" t="s">
        <v>179</v>
      </c>
      <c r="I150" s="433" t="s">
        <v>73</v>
      </c>
      <c r="J150" s="433" t="s">
        <v>1418</v>
      </c>
      <c r="K150" s="433" t="s">
        <v>1322</v>
      </c>
      <c r="L150" s="433" t="s">
        <v>1323</v>
      </c>
      <c r="M150" s="434">
        <v>44197</v>
      </c>
      <c r="N150" s="434">
        <v>44561</v>
      </c>
      <c r="O150" s="433">
        <f>+R150+U150+X150+AA150+AD150+AG150+AJ150+AM150+AP150+AS150+AV150+AY150</f>
        <v>1</v>
      </c>
      <c r="P150" s="433">
        <v>1</v>
      </c>
      <c r="Q150" s="433">
        <v>0</v>
      </c>
      <c r="R150" s="433">
        <v>1</v>
      </c>
      <c r="S150" s="433" t="s">
        <v>1419</v>
      </c>
      <c r="T150" s="433">
        <v>1</v>
      </c>
      <c r="U150" s="433">
        <v>0</v>
      </c>
      <c r="V150" s="433" t="s">
        <v>1420</v>
      </c>
      <c r="W150" s="433">
        <v>0</v>
      </c>
      <c r="X150" s="433">
        <v>0</v>
      </c>
      <c r="Y150" s="436" t="s">
        <v>1420</v>
      </c>
      <c r="Z150" s="433">
        <v>0</v>
      </c>
      <c r="AA150" s="433">
        <v>0</v>
      </c>
      <c r="AB150" s="436" t="s">
        <v>1420</v>
      </c>
      <c r="AC150" s="433">
        <v>0</v>
      </c>
      <c r="AD150" s="433">
        <v>0</v>
      </c>
      <c r="AE150" s="436" t="s">
        <v>1421</v>
      </c>
      <c r="AF150" s="433">
        <v>0</v>
      </c>
      <c r="AG150" s="498">
        <v>0</v>
      </c>
      <c r="AH150" s="513" t="s">
        <v>1420</v>
      </c>
      <c r="AI150" s="433">
        <v>0</v>
      </c>
      <c r="AJ150" s="433"/>
      <c r="AK150" s="433"/>
      <c r="AL150" s="433">
        <v>0</v>
      </c>
      <c r="AM150" s="433"/>
      <c r="AN150" s="433"/>
      <c r="AO150" s="433">
        <v>0</v>
      </c>
      <c r="AP150" s="433"/>
      <c r="AQ150" s="433"/>
      <c r="AR150" s="433">
        <v>0</v>
      </c>
      <c r="AS150" s="433"/>
      <c r="AT150" s="433"/>
      <c r="AU150" s="433">
        <v>0</v>
      </c>
      <c r="AV150" s="433"/>
      <c r="AW150" s="433"/>
      <c r="AX150" s="433">
        <v>0</v>
      </c>
      <c r="AY150" s="435"/>
      <c r="AZ150" s="435"/>
      <c r="BA150" s="435">
        <f t="shared" si="8"/>
        <v>1</v>
      </c>
      <c r="BB150" s="435">
        <f t="shared" si="9"/>
        <v>1</v>
      </c>
      <c r="BC150" s="500">
        <f>+IF(BA150=0,+IF(BB150=0,"No programación, No avance",+IF(BB150&gt;0,+IF(BA150=0,BB150/P150))),BB150/BA150)</f>
        <v>1</v>
      </c>
    </row>
    <row r="151" spans="1:56" s="2" customFormat="1" ht="52.5" customHeight="1">
      <c r="A151" s="701"/>
      <c r="B151" s="715"/>
      <c r="C151" s="706"/>
      <c r="D151" s="706"/>
      <c r="E151" s="433" t="s">
        <v>1423</v>
      </c>
      <c r="F151" s="433" t="s">
        <v>531</v>
      </c>
      <c r="G151" s="433">
        <v>0.3</v>
      </c>
      <c r="H151" s="433" t="s">
        <v>179</v>
      </c>
      <c r="I151" s="433" t="s">
        <v>73</v>
      </c>
      <c r="J151" s="433" t="s">
        <v>1424</v>
      </c>
      <c r="K151" s="433" t="s">
        <v>1322</v>
      </c>
      <c r="L151" s="433" t="s">
        <v>1323</v>
      </c>
      <c r="M151" s="434">
        <v>44197</v>
      </c>
      <c r="N151" s="434">
        <v>44561</v>
      </c>
      <c r="O151" s="433">
        <f>+R151+U151+X151+AA151+AD151+AG151+AJ151+AM151+AP151+AS151+AV151+AY151</f>
        <v>1</v>
      </c>
      <c r="P151" s="433">
        <v>3</v>
      </c>
      <c r="Q151" s="433">
        <v>0</v>
      </c>
      <c r="R151" s="433">
        <v>0</v>
      </c>
      <c r="S151" s="433" t="s">
        <v>1425</v>
      </c>
      <c r="T151" s="433">
        <v>3</v>
      </c>
      <c r="U151" s="433">
        <v>1</v>
      </c>
      <c r="V151" s="433" t="s">
        <v>1426</v>
      </c>
      <c r="W151" s="433">
        <v>0</v>
      </c>
      <c r="X151" s="433">
        <v>0</v>
      </c>
      <c r="Y151" s="436" t="s">
        <v>1427</v>
      </c>
      <c r="Z151" s="433">
        <v>0</v>
      </c>
      <c r="AA151" s="433">
        <v>0</v>
      </c>
      <c r="AB151" s="436" t="s">
        <v>1428</v>
      </c>
      <c r="AC151" s="433">
        <v>0</v>
      </c>
      <c r="AD151" s="433">
        <v>0</v>
      </c>
      <c r="AE151" s="436" t="s">
        <v>1429</v>
      </c>
      <c r="AF151" s="433">
        <v>0</v>
      </c>
      <c r="AG151" s="498">
        <v>0</v>
      </c>
      <c r="AH151" s="499" t="s">
        <v>1430</v>
      </c>
      <c r="AI151" s="433">
        <v>0</v>
      </c>
      <c r="AJ151" s="433"/>
      <c r="AK151" s="433"/>
      <c r="AL151" s="433">
        <v>0</v>
      </c>
      <c r="AM151" s="433"/>
      <c r="AN151" s="433"/>
      <c r="AO151" s="433">
        <v>0</v>
      </c>
      <c r="AP151" s="433"/>
      <c r="AQ151" s="433"/>
      <c r="AR151" s="433">
        <v>0</v>
      </c>
      <c r="AS151" s="433"/>
      <c r="AT151" s="433"/>
      <c r="AU151" s="433">
        <v>0</v>
      </c>
      <c r="AV151" s="433"/>
      <c r="AW151" s="433"/>
      <c r="AX151" s="433">
        <v>0</v>
      </c>
      <c r="AY151" s="435"/>
      <c r="AZ151" s="435"/>
      <c r="BA151" s="435">
        <f t="shared" si="8"/>
        <v>3</v>
      </c>
      <c r="BB151" s="435">
        <f t="shared" si="9"/>
        <v>1</v>
      </c>
      <c r="BC151" s="500">
        <f>+IF(BA151=0,+IF(BB151=0,"No programación, No avance",+IF(BB151&gt;0,+IF(BA151=0,BB151/P151))),BB151/BA151)</f>
        <v>0.33333333333333331</v>
      </c>
    </row>
    <row r="152" spans="1:56" s="2" customFormat="1" ht="52.5" customHeight="1">
      <c r="A152" s="701"/>
      <c r="B152" s="715"/>
      <c r="C152" s="706"/>
      <c r="D152" s="706"/>
      <c r="E152" s="433" t="s">
        <v>1432</v>
      </c>
      <c r="F152" s="433" t="s">
        <v>531</v>
      </c>
      <c r="G152" s="433">
        <v>0.1</v>
      </c>
      <c r="H152" s="433" t="s">
        <v>179</v>
      </c>
      <c r="I152" s="433" t="s">
        <v>73</v>
      </c>
      <c r="J152" s="433" t="s">
        <v>1433</v>
      </c>
      <c r="K152" s="433" t="s">
        <v>1322</v>
      </c>
      <c r="L152" s="433" t="s">
        <v>1323</v>
      </c>
      <c r="M152" s="434">
        <v>44197</v>
      </c>
      <c r="N152" s="434">
        <v>44561</v>
      </c>
      <c r="O152" s="433">
        <f>+R152+U152+X152+AA152+AD152+AG152+AJ152+AM152+AP152+AS152+AV152+AY152</f>
        <v>1</v>
      </c>
      <c r="P152" s="433">
        <v>2</v>
      </c>
      <c r="Q152" s="433">
        <v>0</v>
      </c>
      <c r="R152" s="433">
        <v>0</v>
      </c>
      <c r="S152" s="433" t="s">
        <v>1434</v>
      </c>
      <c r="T152" s="433">
        <v>0</v>
      </c>
      <c r="U152" s="433">
        <v>0</v>
      </c>
      <c r="V152" s="433" t="s">
        <v>1435</v>
      </c>
      <c r="W152" s="433">
        <v>2</v>
      </c>
      <c r="X152" s="433">
        <v>1</v>
      </c>
      <c r="Y152" s="436" t="s">
        <v>1436</v>
      </c>
      <c r="Z152" s="433">
        <v>0</v>
      </c>
      <c r="AA152" s="433">
        <v>0</v>
      </c>
      <c r="AB152" s="436" t="s">
        <v>1437</v>
      </c>
      <c r="AC152" s="433">
        <v>0</v>
      </c>
      <c r="AD152" s="433">
        <v>0</v>
      </c>
      <c r="AE152" s="436" t="s">
        <v>1438</v>
      </c>
      <c r="AF152" s="433">
        <v>0</v>
      </c>
      <c r="AG152" s="498">
        <v>0</v>
      </c>
      <c r="AH152" s="499" t="s">
        <v>1439</v>
      </c>
      <c r="AI152" s="433">
        <v>0</v>
      </c>
      <c r="AJ152" s="433"/>
      <c r="AK152" s="433"/>
      <c r="AL152" s="433">
        <v>0</v>
      </c>
      <c r="AM152" s="433"/>
      <c r="AN152" s="433"/>
      <c r="AO152" s="433">
        <v>0</v>
      </c>
      <c r="AP152" s="433"/>
      <c r="AQ152" s="433"/>
      <c r="AR152" s="433">
        <v>0</v>
      </c>
      <c r="AS152" s="433"/>
      <c r="AT152" s="433"/>
      <c r="AU152" s="433">
        <v>0</v>
      </c>
      <c r="AV152" s="433"/>
      <c r="AW152" s="433"/>
      <c r="AX152" s="433">
        <v>0</v>
      </c>
      <c r="AY152" s="435"/>
      <c r="AZ152" s="435"/>
      <c r="BA152" s="435">
        <f t="shared" si="8"/>
        <v>2</v>
      </c>
      <c r="BB152" s="435">
        <f t="shared" si="9"/>
        <v>1</v>
      </c>
      <c r="BC152" s="500">
        <f>+IF(BA152=0,+IF(BB152=0,"No programación, No avance",+IF(BB152&gt;0,+IF(BA152=0,BB152/P152))),BB152/BA152)</f>
        <v>0.5</v>
      </c>
    </row>
    <row r="153" spans="1:56" s="2" customFormat="1" ht="52.5" customHeight="1">
      <c r="A153" s="701"/>
      <c r="B153" s="715"/>
      <c r="C153" s="706"/>
      <c r="D153" s="706"/>
      <c r="E153" s="433" t="s">
        <v>1441</v>
      </c>
      <c r="F153" s="433" t="s">
        <v>531</v>
      </c>
      <c r="G153" s="433">
        <v>0.15</v>
      </c>
      <c r="H153" s="433" t="s">
        <v>179</v>
      </c>
      <c r="I153" s="433" t="s">
        <v>73</v>
      </c>
      <c r="J153" s="433" t="s">
        <v>1442</v>
      </c>
      <c r="K153" s="433" t="s">
        <v>1322</v>
      </c>
      <c r="L153" s="433" t="s">
        <v>1323</v>
      </c>
      <c r="M153" s="434">
        <v>44197</v>
      </c>
      <c r="N153" s="434">
        <v>44561</v>
      </c>
      <c r="O153" s="433">
        <f>+R153+U153+X153+AA153+AD153+AG153+AJ153+AM153+AP153+AS153+AV153+AY153</f>
        <v>1</v>
      </c>
      <c r="P153" s="433">
        <v>1</v>
      </c>
      <c r="Q153" s="433">
        <v>0</v>
      </c>
      <c r="R153" s="433">
        <v>0</v>
      </c>
      <c r="S153" s="433" t="s">
        <v>1443</v>
      </c>
      <c r="T153" s="433">
        <v>0</v>
      </c>
      <c r="U153" s="433">
        <v>1</v>
      </c>
      <c r="V153" s="433" t="s">
        <v>1444</v>
      </c>
      <c r="W153" s="433">
        <v>0</v>
      </c>
      <c r="X153" s="433">
        <v>0</v>
      </c>
      <c r="Y153" s="436" t="s">
        <v>1445</v>
      </c>
      <c r="Z153" s="433">
        <v>0</v>
      </c>
      <c r="AA153" s="433">
        <v>0</v>
      </c>
      <c r="AB153" s="436" t="s">
        <v>1446</v>
      </c>
      <c r="AC153" s="433">
        <v>0</v>
      </c>
      <c r="AD153" s="433">
        <v>0</v>
      </c>
      <c r="AE153" s="436" t="s">
        <v>1447</v>
      </c>
      <c r="AF153" s="433">
        <v>0</v>
      </c>
      <c r="AG153" s="498">
        <v>0</v>
      </c>
      <c r="AH153" s="499" t="s">
        <v>1448</v>
      </c>
      <c r="AI153" s="433">
        <v>0</v>
      </c>
      <c r="AJ153" s="433"/>
      <c r="AK153" s="433"/>
      <c r="AL153" s="433">
        <v>0</v>
      </c>
      <c r="AM153" s="433"/>
      <c r="AN153" s="433"/>
      <c r="AO153" s="433">
        <v>1</v>
      </c>
      <c r="AP153" s="433"/>
      <c r="AQ153" s="433"/>
      <c r="AR153" s="433">
        <v>0</v>
      </c>
      <c r="AS153" s="433"/>
      <c r="AT153" s="433"/>
      <c r="AU153" s="433">
        <v>0</v>
      </c>
      <c r="AV153" s="433"/>
      <c r="AW153" s="433"/>
      <c r="AX153" s="433">
        <v>0</v>
      </c>
      <c r="AY153" s="435"/>
      <c r="AZ153" s="435"/>
      <c r="BA153" s="435">
        <f t="shared" si="8"/>
        <v>0</v>
      </c>
      <c r="BB153" s="435">
        <f t="shared" si="9"/>
        <v>1</v>
      </c>
      <c r="BC153" s="500">
        <f>+IF(BA153=0,+IF(BB153=0,"No programación, No avance",+IF(BB153&gt;0,+IF(BA153=0,BB153/P153))),BB153/BA153)</f>
        <v>1</v>
      </c>
    </row>
    <row r="154" spans="1:56" s="2" customFormat="1" ht="52.5" customHeight="1">
      <c r="A154" s="701"/>
      <c r="B154" s="715"/>
      <c r="C154" s="706"/>
      <c r="D154" s="706"/>
      <c r="E154" s="433" t="s">
        <v>1450</v>
      </c>
      <c r="F154" s="433" t="s">
        <v>531</v>
      </c>
      <c r="G154" s="433">
        <v>0.2</v>
      </c>
      <c r="H154" s="433" t="s">
        <v>179</v>
      </c>
      <c r="I154" s="433" t="s">
        <v>73</v>
      </c>
      <c r="J154" s="433" t="s">
        <v>60</v>
      </c>
      <c r="K154" s="433" t="s">
        <v>1322</v>
      </c>
      <c r="L154" s="433" t="s">
        <v>1323</v>
      </c>
      <c r="M154" s="434">
        <v>44197</v>
      </c>
      <c r="N154" s="434">
        <v>44561</v>
      </c>
      <c r="O154" s="433">
        <f>+R154+U154+X154+AA154+AD154+AG154+AJ154+AM154+AP154+AS154+AV154+AY154</f>
        <v>1</v>
      </c>
      <c r="P154" s="433">
        <v>1</v>
      </c>
      <c r="Q154" s="433">
        <v>0</v>
      </c>
      <c r="R154" s="433">
        <v>0</v>
      </c>
      <c r="S154" s="433" t="s">
        <v>1451</v>
      </c>
      <c r="T154" s="433">
        <v>0</v>
      </c>
      <c r="U154" s="433">
        <v>0</v>
      </c>
      <c r="V154" s="433" t="s">
        <v>1452</v>
      </c>
      <c r="W154" s="433">
        <v>0</v>
      </c>
      <c r="X154" s="433">
        <v>1</v>
      </c>
      <c r="Y154" s="436" t="s">
        <v>1453</v>
      </c>
      <c r="Z154" s="433">
        <v>0</v>
      </c>
      <c r="AA154" s="433">
        <v>0</v>
      </c>
      <c r="AB154" s="436" t="s">
        <v>1454</v>
      </c>
      <c r="AC154" s="433">
        <v>0</v>
      </c>
      <c r="AD154" s="433">
        <v>0</v>
      </c>
      <c r="AE154" s="436" t="s">
        <v>1455</v>
      </c>
      <c r="AF154" s="433">
        <v>0</v>
      </c>
      <c r="AG154" s="498">
        <v>0</v>
      </c>
      <c r="AH154" s="499" t="s">
        <v>1456</v>
      </c>
      <c r="AI154" s="433">
        <v>0</v>
      </c>
      <c r="AJ154" s="433"/>
      <c r="AK154" s="433"/>
      <c r="AL154" s="433">
        <v>0</v>
      </c>
      <c r="AM154" s="433"/>
      <c r="AN154" s="433"/>
      <c r="AO154" s="433">
        <v>1</v>
      </c>
      <c r="AP154" s="433"/>
      <c r="AQ154" s="433"/>
      <c r="AR154" s="433">
        <v>0</v>
      </c>
      <c r="AS154" s="433"/>
      <c r="AT154" s="433"/>
      <c r="AU154" s="433">
        <v>0</v>
      </c>
      <c r="AV154" s="433"/>
      <c r="AW154" s="433"/>
      <c r="AX154" s="433">
        <v>0</v>
      </c>
      <c r="AY154" s="435"/>
      <c r="AZ154" s="435"/>
      <c r="BA154" s="435">
        <f t="shared" si="8"/>
        <v>0</v>
      </c>
      <c r="BB154" s="435">
        <f t="shared" si="9"/>
        <v>1</v>
      </c>
      <c r="BC154" s="500">
        <f>+IF(BA154=0,+IF(BB154=0,"No programación, No avance",+IF(BB154&gt;0,+IF(BA154=0,BB154/P154))),BB154/BA154)</f>
        <v>1</v>
      </c>
    </row>
    <row r="155" spans="1:56" s="2" customFormat="1" ht="52.5" customHeight="1">
      <c r="A155" s="701"/>
      <c r="B155" s="715"/>
      <c r="C155" s="706" t="s">
        <v>1458</v>
      </c>
      <c r="D155" s="706" t="s">
        <v>1459</v>
      </c>
      <c r="E155" s="433" t="s">
        <v>1460</v>
      </c>
      <c r="F155" s="433" t="s">
        <v>531</v>
      </c>
      <c r="G155" s="433">
        <v>0.15</v>
      </c>
      <c r="H155" s="433" t="s">
        <v>179</v>
      </c>
      <c r="I155" s="433" t="s">
        <v>73</v>
      </c>
      <c r="J155" s="433" t="s">
        <v>1461</v>
      </c>
      <c r="K155" s="433" t="s">
        <v>1322</v>
      </c>
      <c r="L155" s="433" t="s">
        <v>1323</v>
      </c>
      <c r="M155" s="434">
        <v>44197</v>
      </c>
      <c r="N155" s="434">
        <v>44561</v>
      </c>
      <c r="O155" s="433">
        <f>+R155+U155+X155+AA155+AD155+AG155+AJ155+AM155+AP155+AS155+AV155+AY155</f>
        <v>0</v>
      </c>
      <c r="P155" s="433">
        <v>1</v>
      </c>
      <c r="Q155" s="433">
        <v>0</v>
      </c>
      <c r="R155" s="433">
        <v>0</v>
      </c>
      <c r="S155" s="433" t="s">
        <v>1462</v>
      </c>
      <c r="T155" s="433">
        <v>0</v>
      </c>
      <c r="U155" s="433">
        <v>0</v>
      </c>
      <c r="V155" s="433" t="s">
        <v>1463</v>
      </c>
      <c r="W155" s="433">
        <v>0</v>
      </c>
      <c r="X155" s="433">
        <v>0</v>
      </c>
      <c r="Y155" s="436" t="s">
        <v>1464</v>
      </c>
      <c r="Z155" s="433">
        <v>0</v>
      </c>
      <c r="AA155" s="433">
        <v>0</v>
      </c>
      <c r="AB155" s="436" t="s">
        <v>1465</v>
      </c>
      <c r="AC155" s="433">
        <v>0</v>
      </c>
      <c r="AD155" s="433">
        <v>0</v>
      </c>
      <c r="AE155" s="436" t="s">
        <v>1466</v>
      </c>
      <c r="AF155" s="433">
        <v>0</v>
      </c>
      <c r="AG155" s="498">
        <v>0</v>
      </c>
      <c r="AH155" s="499" t="s">
        <v>1467</v>
      </c>
      <c r="AI155" s="433">
        <v>0</v>
      </c>
      <c r="AJ155" s="433"/>
      <c r="AK155" s="433"/>
      <c r="AL155" s="433">
        <v>0</v>
      </c>
      <c r="AM155" s="433"/>
      <c r="AN155" s="433"/>
      <c r="AO155" s="433">
        <v>0</v>
      </c>
      <c r="AP155" s="433"/>
      <c r="AQ155" s="433"/>
      <c r="AR155" s="433">
        <v>0</v>
      </c>
      <c r="AS155" s="433"/>
      <c r="AT155" s="433"/>
      <c r="AU155" s="433">
        <v>0</v>
      </c>
      <c r="AV155" s="433"/>
      <c r="AW155" s="433"/>
      <c r="AX155" s="433">
        <v>1</v>
      </c>
      <c r="AY155" s="435"/>
      <c r="AZ155" s="435"/>
      <c r="BA155" s="435">
        <f t="shared" si="8"/>
        <v>0</v>
      </c>
      <c r="BB155" s="435">
        <f t="shared" si="9"/>
        <v>0</v>
      </c>
      <c r="BC155" s="500" t="str">
        <f>+IF(BA155=0,+IF(BB155=0,"No programación, No avance",+IF(BB155&gt;0,+IF(BA155=0,BB155/P155))),BB155/BA155)</f>
        <v>No programación, No avance</v>
      </c>
    </row>
    <row r="156" spans="1:56" s="2" customFormat="1" ht="60" customHeight="1">
      <c r="A156" s="701"/>
      <c r="B156" s="715"/>
      <c r="C156" s="706"/>
      <c r="D156" s="706"/>
      <c r="E156" s="433" t="s">
        <v>1469</v>
      </c>
      <c r="F156" s="433" t="s">
        <v>531</v>
      </c>
      <c r="G156" s="433">
        <v>0.15</v>
      </c>
      <c r="H156" s="433" t="s">
        <v>179</v>
      </c>
      <c r="I156" s="433" t="s">
        <v>79</v>
      </c>
      <c r="J156" s="433" t="s">
        <v>493</v>
      </c>
      <c r="K156" s="433" t="s">
        <v>1322</v>
      </c>
      <c r="L156" s="433" t="s">
        <v>1323</v>
      </c>
      <c r="M156" s="434">
        <v>44197</v>
      </c>
      <c r="N156" s="434">
        <v>44561</v>
      </c>
      <c r="O156" s="433">
        <f>+R156+U156+X156+AA156+AD156+AG156+AJ156+AM156+AP156+AS156+AV156+AY156</f>
        <v>0</v>
      </c>
      <c r="P156" s="433">
        <v>0.5</v>
      </c>
      <c r="Q156" s="433">
        <v>0</v>
      </c>
      <c r="R156" s="433">
        <v>0</v>
      </c>
      <c r="S156" s="433" t="s">
        <v>1470</v>
      </c>
      <c r="T156" s="433">
        <v>0</v>
      </c>
      <c r="U156" s="438">
        <v>0</v>
      </c>
      <c r="V156" s="433" t="s">
        <v>1471</v>
      </c>
      <c r="W156" s="433">
        <v>0</v>
      </c>
      <c r="X156" s="438">
        <v>0</v>
      </c>
      <c r="Y156" s="436" t="s">
        <v>1472</v>
      </c>
      <c r="Z156" s="433">
        <v>0</v>
      </c>
      <c r="AA156" s="438">
        <v>0</v>
      </c>
      <c r="AB156" s="436" t="s">
        <v>1473</v>
      </c>
      <c r="AC156" s="433">
        <v>0</v>
      </c>
      <c r="AD156" s="439">
        <v>0</v>
      </c>
      <c r="AE156" s="436" t="s">
        <v>1474</v>
      </c>
      <c r="AF156" s="433">
        <v>0</v>
      </c>
      <c r="AG156" s="498">
        <v>0</v>
      </c>
      <c r="AH156" s="499" t="s">
        <v>1475</v>
      </c>
      <c r="AI156" s="433">
        <v>0</v>
      </c>
      <c r="AJ156" s="433"/>
      <c r="AK156" s="433"/>
      <c r="AL156" s="433">
        <v>0.1</v>
      </c>
      <c r="AM156" s="433"/>
      <c r="AN156" s="433"/>
      <c r="AO156" s="437">
        <v>0.1</v>
      </c>
      <c r="AP156" s="433"/>
      <c r="AQ156" s="433"/>
      <c r="AR156" s="437">
        <v>0.1</v>
      </c>
      <c r="AS156" s="433"/>
      <c r="AT156" s="433"/>
      <c r="AU156" s="437">
        <v>0.1</v>
      </c>
      <c r="AV156" s="433"/>
      <c r="AW156" s="433"/>
      <c r="AX156" s="437">
        <v>0.1</v>
      </c>
      <c r="AY156" s="435"/>
      <c r="AZ156" s="435"/>
      <c r="BA156" s="435">
        <f t="shared" si="8"/>
        <v>0</v>
      </c>
      <c r="BB156" s="435">
        <f t="shared" si="9"/>
        <v>0</v>
      </c>
      <c r="BC156" s="500" t="str">
        <f>+IF(BA156=0,+IF(BB156=0,"No programación, No avance",+IF(BB156&gt;0,+IF(BA156=0,BB156/P156))),BB156/BA156)</f>
        <v>No programación, No avance</v>
      </c>
      <c r="BD156" s="47"/>
    </row>
    <row r="157" spans="1:56" s="2" customFormat="1" ht="52.5" customHeight="1">
      <c r="A157" s="701"/>
      <c r="B157" s="715"/>
      <c r="C157" s="706"/>
      <c r="D157" s="706"/>
      <c r="E157" s="433" t="s">
        <v>1477</v>
      </c>
      <c r="F157" s="433" t="s">
        <v>531</v>
      </c>
      <c r="G157" s="433">
        <v>0.15</v>
      </c>
      <c r="H157" s="433" t="s">
        <v>179</v>
      </c>
      <c r="I157" s="433" t="s">
        <v>73</v>
      </c>
      <c r="J157" s="433" t="s">
        <v>1478</v>
      </c>
      <c r="K157" s="433" t="s">
        <v>1322</v>
      </c>
      <c r="L157" s="433" t="s">
        <v>1323</v>
      </c>
      <c r="M157" s="434">
        <v>44197</v>
      </c>
      <c r="N157" s="434">
        <v>44561</v>
      </c>
      <c r="O157" s="433">
        <f>+R157+U157+X157+AA157+AD157+AG157+AJ157+AM157+AP157+AS157+AV157+AY157</f>
        <v>0</v>
      </c>
      <c r="P157" s="433">
        <v>1</v>
      </c>
      <c r="Q157" s="433">
        <v>0</v>
      </c>
      <c r="R157" s="433">
        <v>0</v>
      </c>
      <c r="S157" s="433" t="s">
        <v>1479</v>
      </c>
      <c r="T157" s="433">
        <v>0</v>
      </c>
      <c r="U157" s="433">
        <v>0</v>
      </c>
      <c r="V157" s="433" t="s">
        <v>1480</v>
      </c>
      <c r="W157" s="433">
        <v>0</v>
      </c>
      <c r="X157" s="433">
        <v>0</v>
      </c>
      <c r="Y157" s="436" t="s">
        <v>1481</v>
      </c>
      <c r="Z157" s="433">
        <v>0</v>
      </c>
      <c r="AA157" s="433">
        <v>0</v>
      </c>
      <c r="AB157" s="436" t="s">
        <v>1482</v>
      </c>
      <c r="AC157" s="433">
        <v>0</v>
      </c>
      <c r="AD157" s="433">
        <v>0</v>
      </c>
      <c r="AE157" s="436" t="s">
        <v>1483</v>
      </c>
      <c r="AF157" s="433">
        <v>1</v>
      </c>
      <c r="AG157" s="498">
        <v>0</v>
      </c>
      <c r="AH157" s="499" t="s">
        <v>1484</v>
      </c>
      <c r="AI157" s="433">
        <v>0</v>
      </c>
      <c r="AJ157" s="433"/>
      <c r="AK157" s="433"/>
      <c r="AL157" s="433">
        <v>0</v>
      </c>
      <c r="AM157" s="433"/>
      <c r="AN157" s="433"/>
      <c r="AO157" s="433">
        <v>0</v>
      </c>
      <c r="AP157" s="433"/>
      <c r="AQ157" s="433"/>
      <c r="AR157" s="433">
        <v>0</v>
      </c>
      <c r="AS157" s="433"/>
      <c r="AT157" s="433"/>
      <c r="AU157" s="433">
        <v>0</v>
      </c>
      <c r="AV157" s="433"/>
      <c r="AW157" s="433"/>
      <c r="AX157" s="433">
        <v>0</v>
      </c>
      <c r="AY157" s="435"/>
      <c r="AZ157" s="435"/>
      <c r="BA157" s="435">
        <f t="shared" si="8"/>
        <v>1</v>
      </c>
      <c r="BB157" s="435">
        <f t="shared" si="9"/>
        <v>0</v>
      </c>
      <c r="BC157" s="500">
        <f>+IF(BA157=0,+IF(BB157=0,"No programación, No avance",+IF(BB157&gt;0,+IF(BA157=0,BB157/P157))),BB157/BA157)</f>
        <v>0</v>
      </c>
    </row>
    <row r="158" spans="1:56" s="2" customFormat="1" ht="52.5" customHeight="1">
      <c r="A158" s="701"/>
      <c r="B158" s="715"/>
      <c r="C158" s="706"/>
      <c r="D158" s="706"/>
      <c r="E158" s="433" t="s">
        <v>1486</v>
      </c>
      <c r="F158" s="433" t="s">
        <v>531</v>
      </c>
      <c r="G158" s="433">
        <v>0.2</v>
      </c>
      <c r="H158" s="433" t="s">
        <v>179</v>
      </c>
      <c r="I158" s="433" t="s">
        <v>73</v>
      </c>
      <c r="J158" s="433" t="s">
        <v>1487</v>
      </c>
      <c r="K158" s="433" t="s">
        <v>1322</v>
      </c>
      <c r="L158" s="433" t="s">
        <v>1323</v>
      </c>
      <c r="M158" s="434">
        <v>44197</v>
      </c>
      <c r="N158" s="434">
        <v>44561</v>
      </c>
      <c r="O158" s="433">
        <f>+R158+U158+X158+AA158+AD158+AG158+AJ158+AM158+AP158+AS158+AV158+AY158</f>
        <v>0.5</v>
      </c>
      <c r="P158" s="433">
        <v>1</v>
      </c>
      <c r="Q158" s="433">
        <v>0</v>
      </c>
      <c r="R158" s="433">
        <v>0</v>
      </c>
      <c r="S158" s="433" t="s">
        <v>1488</v>
      </c>
      <c r="T158" s="433">
        <v>0</v>
      </c>
      <c r="U158" s="433">
        <v>0</v>
      </c>
      <c r="V158" s="433" t="s">
        <v>1489</v>
      </c>
      <c r="W158" s="433">
        <v>0</v>
      </c>
      <c r="X158" s="433">
        <v>0</v>
      </c>
      <c r="Y158" s="436" t="s">
        <v>1490</v>
      </c>
      <c r="Z158" s="433">
        <v>0</v>
      </c>
      <c r="AA158" s="433">
        <v>0</v>
      </c>
      <c r="AB158" s="436" t="s">
        <v>1491</v>
      </c>
      <c r="AC158" s="433">
        <v>0</v>
      </c>
      <c r="AD158" s="433">
        <v>0</v>
      </c>
      <c r="AE158" s="436" t="s">
        <v>1492</v>
      </c>
      <c r="AF158" s="433">
        <v>0</v>
      </c>
      <c r="AG158" s="498" t="s">
        <v>1493</v>
      </c>
      <c r="AH158" s="514" t="s">
        <v>1494</v>
      </c>
      <c r="AI158" s="433">
        <v>0</v>
      </c>
      <c r="AJ158" s="433"/>
      <c r="AK158" s="433"/>
      <c r="AL158" s="433">
        <v>0</v>
      </c>
      <c r="AM158" s="433"/>
      <c r="AN158" s="433"/>
      <c r="AO158" s="433">
        <v>0</v>
      </c>
      <c r="AP158" s="433"/>
      <c r="AQ158" s="433"/>
      <c r="AR158" s="433">
        <v>0</v>
      </c>
      <c r="AS158" s="433"/>
      <c r="AT158" s="433"/>
      <c r="AU158" s="433">
        <v>0</v>
      </c>
      <c r="AV158" s="433"/>
      <c r="AW158" s="433"/>
      <c r="AX158" s="433">
        <v>1</v>
      </c>
      <c r="AY158" s="435"/>
      <c r="AZ158" s="435"/>
      <c r="BA158" s="435">
        <f t="shared" si="8"/>
        <v>0</v>
      </c>
      <c r="BB158" s="435">
        <f t="shared" si="9"/>
        <v>0.5</v>
      </c>
      <c r="BC158" s="500">
        <f>+IF(BA158=0,+IF(BB158=0,"No programación, No avance",+IF(BB158&gt;0,+IF(BA158=0,BB158/P158))),BB158/BA158)</f>
        <v>0.5</v>
      </c>
      <c r="BD158" s="47"/>
    </row>
    <row r="159" spans="1:56" s="2" customFormat="1" ht="52.5" customHeight="1">
      <c r="A159" s="701"/>
      <c r="B159" s="715"/>
      <c r="C159" s="706"/>
      <c r="D159" s="706"/>
      <c r="E159" s="433" t="s">
        <v>1496</v>
      </c>
      <c r="F159" s="433" t="s">
        <v>531</v>
      </c>
      <c r="G159" s="433">
        <v>0.2</v>
      </c>
      <c r="H159" s="433" t="s">
        <v>179</v>
      </c>
      <c r="I159" s="433" t="s">
        <v>73</v>
      </c>
      <c r="J159" s="433" t="s">
        <v>1424</v>
      </c>
      <c r="K159" s="433" t="s">
        <v>1322</v>
      </c>
      <c r="L159" s="433" t="s">
        <v>1323</v>
      </c>
      <c r="M159" s="434">
        <v>44197</v>
      </c>
      <c r="N159" s="434">
        <v>44561</v>
      </c>
      <c r="O159" s="433">
        <f>+R159+U159+X159+AA159+AD159+AG159+AJ159+AM159+AP159+AS159+AV159+AY159</f>
        <v>0.22000000000000003</v>
      </c>
      <c r="P159" s="433">
        <v>1</v>
      </c>
      <c r="Q159" s="433">
        <v>0</v>
      </c>
      <c r="R159" s="433">
        <v>0.01</v>
      </c>
      <c r="S159" s="433" t="s">
        <v>1497</v>
      </c>
      <c r="T159" s="433">
        <v>0</v>
      </c>
      <c r="U159" s="433">
        <v>0</v>
      </c>
      <c r="V159" s="433" t="s">
        <v>1498</v>
      </c>
      <c r="W159" s="433">
        <v>0</v>
      </c>
      <c r="X159" s="433">
        <v>0</v>
      </c>
      <c r="Y159" s="436" t="s">
        <v>1499</v>
      </c>
      <c r="Z159" s="433">
        <v>0</v>
      </c>
      <c r="AA159" s="433" t="s">
        <v>2864</v>
      </c>
      <c r="AB159" s="436" t="s">
        <v>1500</v>
      </c>
      <c r="AC159" s="433">
        <v>1</v>
      </c>
      <c r="AD159" s="433">
        <v>0.1</v>
      </c>
      <c r="AE159" s="436" t="s">
        <v>1501</v>
      </c>
      <c r="AF159" s="433">
        <v>0</v>
      </c>
      <c r="AG159" s="498" t="s">
        <v>122</v>
      </c>
      <c r="AH159" s="499" t="s">
        <v>1502</v>
      </c>
      <c r="AI159" s="433">
        <v>0</v>
      </c>
      <c r="AJ159" s="433"/>
      <c r="AK159" s="433"/>
      <c r="AL159" s="433">
        <v>0</v>
      </c>
      <c r="AM159" s="433"/>
      <c r="AN159" s="433"/>
      <c r="AO159" s="433">
        <v>0</v>
      </c>
      <c r="AP159" s="433"/>
      <c r="AQ159" s="433"/>
      <c r="AR159" s="433">
        <v>0</v>
      </c>
      <c r="AS159" s="433"/>
      <c r="AT159" s="433"/>
      <c r="AU159" s="433">
        <v>0</v>
      </c>
      <c r="AV159" s="433"/>
      <c r="AW159" s="433"/>
      <c r="AX159" s="433">
        <v>0</v>
      </c>
      <c r="AY159" s="435"/>
      <c r="AZ159" s="435"/>
      <c r="BA159" s="435">
        <f t="shared" si="8"/>
        <v>1</v>
      </c>
      <c r="BB159" s="435">
        <f t="shared" si="9"/>
        <v>0.22000000000000003</v>
      </c>
      <c r="BC159" s="500">
        <f>+IF(BA159=0,+IF(BB159=0,"No programación, No avance",+IF(BB159&gt;0,+IF(BA159=0,BB159/P159))),BB159/BA159)</f>
        <v>0.22000000000000003</v>
      </c>
    </row>
    <row r="160" spans="1:56" s="2" customFormat="1" ht="63.75" customHeight="1">
      <c r="A160" s="701"/>
      <c r="B160" s="715"/>
      <c r="C160" s="706"/>
      <c r="D160" s="706"/>
      <c r="E160" s="433" t="s">
        <v>1504</v>
      </c>
      <c r="F160" s="433" t="s">
        <v>531</v>
      </c>
      <c r="G160" s="433">
        <v>0.15</v>
      </c>
      <c r="H160" s="433" t="s">
        <v>179</v>
      </c>
      <c r="I160" s="433" t="s">
        <v>73</v>
      </c>
      <c r="J160" s="433" t="s">
        <v>1505</v>
      </c>
      <c r="K160" s="433" t="s">
        <v>1322</v>
      </c>
      <c r="L160" s="433" t="s">
        <v>1323</v>
      </c>
      <c r="M160" s="434">
        <v>44197</v>
      </c>
      <c r="N160" s="434">
        <v>44561</v>
      </c>
      <c r="O160" s="433">
        <f>+R160+U160+X160+AA160+AD160+AG160+AJ160+AM160+AP160+AS160+AV160+AY160</f>
        <v>0</v>
      </c>
      <c r="P160" s="433">
        <v>1</v>
      </c>
      <c r="Q160" s="433">
        <v>0</v>
      </c>
      <c r="R160" s="433">
        <v>0</v>
      </c>
      <c r="S160" s="433" t="s">
        <v>1506</v>
      </c>
      <c r="T160" s="433">
        <v>0</v>
      </c>
      <c r="U160" s="433">
        <v>0</v>
      </c>
      <c r="V160" s="433" t="s">
        <v>1506</v>
      </c>
      <c r="W160" s="433">
        <v>0</v>
      </c>
      <c r="X160" s="433">
        <v>0</v>
      </c>
      <c r="Y160" s="436" t="s">
        <v>1507</v>
      </c>
      <c r="Z160" s="433">
        <v>0</v>
      </c>
      <c r="AA160" s="433">
        <v>0</v>
      </c>
      <c r="AB160" s="436" t="s">
        <v>1508</v>
      </c>
      <c r="AC160" s="433">
        <v>1</v>
      </c>
      <c r="AD160" s="433">
        <v>0</v>
      </c>
      <c r="AE160" s="436" t="s">
        <v>1509</v>
      </c>
      <c r="AF160" s="433">
        <v>0</v>
      </c>
      <c r="AG160" s="498">
        <v>0</v>
      </c>
      <c r="AH160" s="499" t="s">
        <v>1510</v>
      </c>
      <c r="AI160" s="433">
        <v>0</v>
      </c>
      <c r="AJ160" s="433"/>
      <c r="AK160" s="433"/>
      <c r="AL160" s="433">
        <v>0</v>
      </c>
      <c r="AM160" s="433"/>
      <c r="AN160" s="433"/>
      <c r="AO160" s="433">
        <v>0</v>
      </c>
      <c r="AP160" s="433"/>
      <c r="AQ160" s="433"/>
      <c r="AR160" s="433">
        <v>0</v>
      </c>
      <c r="AS160" s="433"/>
      <c r="AT160" s="433"/>
      <c r="AU160" s="433">
        <v>0</v>
      </c>
      <c r="AV160" s="433"/>
      <c r="AW160" s="433"/>
      <c r="AX160" s="433">
        <v>0</v>
      </c>
      <c r="AY160" s="435"/>
      <c r="AZ160" s="435"/>
      <c r="BA160" s="435">
        <f t="shared" si="8"/>
        <v>1</v>
      </c>
      <c r="BB160" s="435">
        <f t="shared" si="9"/>
        <v>0</v>
      </c>
      <c r="BC160" s="500">
        <f>+IF(BA160=0,+IF(BB160=0,"No programación, No avance",+IF(BB160&gt;0,+IF(BA160=0,BB160/P160))),BB160/BA160)</f>
        <v>0</v>
      </c>
    </row>
    <row r="161" spans="1:56" s="2" customFormat="1" ht="52.5" customHeight="1">
      <c r="A161" s="701"/>
      <c r="B161" s="715"/>
      <c r="C161" s="706" t="s">
        <v>184</v>
      </c>
      <c r="D161" s="706" t="s">
        <v>1512</v>
      </c>
      <c r="E161" s="433" t="s">
        <v>1513</v>
      </c>
      <c r="F161" s="433" t="s">
        <v>531</v>
      </c>
      <c r="G161" s="433">
        <v>0.2</v>
      </c>
      <c r="H161" s="433" t="s">
        <v>179</v>
      </c>
      <c r="I161" s="433" t="s">
        <v>79</v>
      </c>
      <c r="J161" s="433" t="s">
        <v>60</v>
      </c>
      <c r="K161" s="433" t="s">
        <v>1322</v>
      </c>
      <c r="L161" s="433" t="s">
        <v>1323</v>
      </c>
      <c r="M161" s="434">
        <v>44197</v>
      </c>
      <c r="N161" s="434">
        <v>44561</v>
      </c>
      <c r="O161" s="433">
        <f>+R161+U161+X161+AA161+AD161+AG161+AJ161+AM161+AP161+AS161+AV161+AY161</f>
        <v>0.4</v>
      </c>
      <c r="P161" s="433">
        <v>1</v>
      </c>
      <c r="Q161" s="433">
        <v>0</v>
      </c>
      <c r="R161" s="433">
        <v>0</v>
      </c>
      <c r="S161" s="433" t="s">
        <v>1514</v>
      </c>
      <c r="T161" s="433">
        <v>0.1</v>
      </c>
      <c r="U161" s="438">
        <v>0.1</v>
      </c>
      <c r="V161" s="433" t="s">
        <v>1515</v>
      </c>
      <c r="W161" s="437">
        <v>0.1</v>
      </c>
      <c r="X161" s="437">
        <v>0.1</v>
      </c>
      <c r="Y161" s="436" t="s">
        <v>1516</v>
      </c>
      <c r="Z161" s="437">
        <v>0.1</v>
      </c>
      <c r="AA161" s="438">
        <v>0.1</v>
      </c>
      <c r="AB161" s="436" t="s">
        <v>1517</v>
      </c>
      <c r="AC161" s="437">
        <v>0</v>
      </c>
      <c r="AD161" s="439">
        <v>0.1</v>
      </c>
      <c r="AE161" s="436" t="s">
        <v>1518</v>
      </c>
      <c r="AF161" s="437">
        <v>0.1</v>
      </c>
      <c r="AG161" s="498">
        <v>0</v>
      </c>
      <c r="AH161" s="499" t="s">
        <v>1519</v>
      </c>
      <c r="AI161" s="437">
        <v>0.1</v>
      </c>
      <c r="AJ161" s="433"/>
      <c r="AK161" s="433"/>
      <c r="AL161" s="437">
        <v>0.1</v>
      </c>
      <c r="AM161" s="433"/>
      <c r="AN161" s="433"/>
      <c r="AO161" s="437">
        <v>0.1</v>
      </c>
      <c r="AP161" s="433"/>
      <c r="AQ161" s="433"/>
      <c r="AR161" s="437">
        <v>0.1</v>
      </c>
      <c r="AS161" s="433"/>
      <c r="AT161" s="433"/>
      <c r="AU161" s="437">
        <v>0.1</v>
      </c>
      <c r="AV161" s="433"/>
      <c r="AW161" s="433"/>
      <c r="AX161" s="437">
        <v>0</v>
      </c>
      <c r="AY161" s="435"/>
      <c r="AZ161" s="435"/>
      <c r="BA161" s="435">
        <f t="shared" si="8"/>
        <v>0.4</v>
      </c>
      <c r="BB161" s="435">
        <f t="shared" si="9"/>
        <v>0.4</v>
      </c>
      <c r="BC161" s="500">
        <f>+IF(BA161=0,+IF(BB161=0,"No programación, No avance",+IF(BB161&gt;0,+IF(BA161=0,BB161/P161))),BB161/BA161)</f>
        <v>1</v>
      </c>
    </row>
    <row r="162" spans="1:56" s="2" customFormat="1" ht="52.5" customHeight="1">
      <c r="A162" s="701"/>
      <c r="B162" s="715"/>
      <c r="C162" s="706"/>
      <c r="D162" s="706"/>
      <c r="E162" s="433" t="s">
        <v>1521</v>
      </c>
      <c r="F162" s="433" t="s">
        <v>531</v>
      </c>
      <c r="G162" s="433">
        <v>0.05</v>
      </c>
      <c r="H162" s="433" t="s">
        <v>179</v>
      </c>
      <c r="I162" s="433" t="s">
        <v>73</v>
      </c>
      <c r="J162" s="433" t="s">
        <v>1522</v>
      </c>
      <c r="K162" s="433" t="s">
        <v>1322</v>
      </c>
      <c r="L162" s="433" t="s">
        <v>1323</v>
      </c>
      <c r="M162" s="434">
        <v>44197</v>
      </c>
      <c r="N162" s="434">
        <v>44561</v>
      </c>
      <c r="O162" s="433">
        <f>+R162+U162+X162+AA162+AD162+AG162+AJ162+AM162+AP162+AS162+AV162+AY162</f>
        <v>0</v>
      </c>
      <c r="P162" s="433">
        <v>1</v>
      </c>
      <c r="Q162" s="433">
        <v>0</v>
      </c>
      <c r="R162" s="433">
        <v>0</v>
      </c>
      <c r="S162" s="433"/>
      <c r="T162" s="433">
        <v>0</v>
      </c>
      <c r="U162" s="433">
        <v>0</v>
      </c>
      <c r="V162" s="433" t="s">
        <v>1523</v>
      </c>
      <c r="W162" s="433">
        <v>0</v>
      </c>
      <c r="X162" s="433">
        <v>0</v>
      </c>
      <c r="Y162" s="515" t="s">
        <v>1524</v>
      </c>
      <c r="Z162" s="433">
        <v>1</v>
      </c>
      <c r="AA162" s="433">
        <v>0</v>
      </c>
      <c r="AB162" s="436" t="s">
        <v>1525</v>
      </c>
      <c r="AC162" s="433">
        <v>0</v>
      </c>
      <c r="AD162" s="433">
        <v>0</v>
      </c>
      <c r="AE162" s="436" t="s">
        <v>1526</v>
      </c>
      <c r="AF162" s="433">
        <v>0</v>
      </c>
      <c r="AG162" s="498">
        <v>0</v>
      </c>
      <c r="AH162" s="499" t="s">
        <v>1527</v>
      </c>
      <c r="AI162" s="433">
        <v>0</v>
      </c>
      <c r="AJ162" s="433"/>
      <c r="AK162" s="433"/>
      <c r="AL162" s="433">
        <v>0</v>
      </c>
      <c r="AM162" s="433"/>
      <c r="AN162" s="433"/>
      <c r="AO162" s="433">
        <v>0</v>
      </c>
      <c r="AP162" s="433"/>
      <c r="AQ162" s="433"/>
      <c r="AR162" s="433">
        <v>0</v>
      </c>
      <c r="AS162" s="433"/>
      <c r="AT162" s="433"/>
      <c r="AU162" s="433">
        <v>0</v>
      </c>
      <c r="AV162" s="433"/>
      <c r="AW162" s="433"/>
      <c r="AX162" s="433">
        <v>0</v>
      </c>
      <c r="AY162" s="435"/>
      <c r="AZ162" s="435"/>
      <c r="BA162" s="435">
        <f t="shared" si="8"/>
        <v>1</v>
      </c>
      <c r="BB162" s="435">
        <f t="shared" si="9"/>
        <v>0</v>
      </c>
      <c r="BC162" s="500">
        <f>+IF(BA162=0,+IF(BB162=0,"No programación, No avance",+IF(BB162&gt;0,+IF(BA162=0,BB162/P162))),BB162/BA162)</f>
        <v>0</v>
      </c>
      <c r="BD162" s="47"/>
    </row>
    <row r="163" spans="1:56" s="2" customFormat="1" ht="52.5" customHeight="1">
      <c r="A163" s="701"/>
      <c r="B163" s="715"/>
      <c r="C163" s="706"/>
      <c r="D163" s="706"/>
      <c r="E163" s="433" t="s">
        <v>2865</v>
      </c>
      <c r="F163" s="433" t="s">
        <v>531</v>
      </c>
      <c r="G163" s="433">
        <v>0.05</v>
      </c>
      <c r="H163" s="433" t="s">
        <v>179</v>
      </c>
      <c r="I163" s="433" t="s">
        <v>73</v>
      </c>
      <c r="J163" s="433" t="s">
        <v>47</v>
      </c>
      <c r="K163" s="433" t="s">
        <v>1322</v>
      </c>
      <c r="L163" s="433" t="s">
        <v>1323</v>
      </c>
      <c r="M163" s="434">
        <v>44197</v>
      </c>
      <c r="N163" s="434">
        <v>44561</v>
      </c>
      <c r="O163" s="433">
        <f>+R163+U163+X163+AA163+AD163+AG163+AJ163+AM163+AP163+AS163+AV163+AY163</f>
        <v>0</v>
      </c>
      <c r="P163" s="433">
        <v>2</v>
      </c>
      <c r="Q163" s="433">
        <v>0</v>
      </c>
      <c r="R163" s="433">
        <v>0</v>
      </c>
      <c r="S163" s="433" t="s">
        <v>1530</v>
      </c>
      <c r="T163" s="433">
        <v>1</v>
      </c>
      <c r="U163" s="433">
        <v>0</v>
      </c>
      <c r="V163" s="433" t="s">
        <v>1531</v>
      </c>
      <c r="W163" s="433">
        <v>0</v>
      </c>
      <c r="X163" s="433">
        <v>0</v>
      </c>
      <c r="Y163" s="436" t="s">
        <v>1532</v>
      </c>
      <c r="Z163" s="433">
        <v>0</v>
      </c>
      <c r="AA163" s="433">
        <v>0</v>
      </c>
      <c r="AB163" s="436" t="s">
        <v>1533</v>
      </c>
      <c r="AC163" s="433">
        <v>0</v>
      </c>
      <c r="AD163" s="433">
        <v>0</v>
      </c>
      <c r="AE163" s="515" t="s">
        <v>1534</v>
      </c>
      <c r="AF163" s="433">
        <v>0</v>
      </c>
      <c r="AG163" s="498">
        <v>0</v>
      </c>
      <c r="AH163" s="499" t="s">
        <v>1535</v>
      </c>
      <c r="AI163" s="433">
        <v>0</v>
      </c>
      <c r="AJ163" s="433"/>
      <c r="AK163" s="433"/>
      <c r="AL163" s="433">
        <v>1</v>
      </c>
      <c r="AM163" s="433"/>
      <c r="AN163" s="433"/>
      <c r="AO163" s="433">
        <v>0</v>
      </c>
      <c r="AP163" s="433"/>
      <c r="AQ163" s="433"/>
      <c r="AR163" s="433">
        <v>0</v>
      </c>
      <c r="AS163" s="433"/>
      <c r="AT163" s="433"/>
      <c r="AU163" s="433">
        <v>0</v>
      </c>
      <c r="AV163" s="433"/>
      <c r="AW163" s="433"/>
      <c r="AX163" s="433">
        <v>0</v>
      </c>
      <c r="AY163" s="435"/>
      <c r="AZ163" s="435"/>
      <c r="BA163" s="435">
        <f t="shared" si="8"/>
        <v>1</v>
      </c>
      <c r="BB163" s="435">
        <f t="shared" si="9"/>
        <v>0</v>
      </c>
      <c r="BC163" s="500">
        <f>+IF(BA163=0,+IF(BB163=0,"No programación, No avance",+IF(BB163&gt;0,+IF(BA163=0,BB163/P163))),BB163/BA163)</f>
        <v>0</v>
      </c>
    </row>
    <row r="164" spans="1:56" s="2" customFormat="1" ht="52.5" customHeight="1">
      <c r="A164" s="701"/>
      <c r="B164" s="715"/>
      <c r="C164" s="706"/>
      <c r="D164" s="706"/>
      <c r="E164" s="433" t="s">
        <v>1537</v>
      </c>
      <c r="F164" s="433" t="s">
        <v>531</v>
      </c>
      <c r="G164" s="433">
        <v>0.05</v>
      </c>
      <c r="H164" s="433" t="s">
        <v>179</v>
      </c>
      <c r="I164" s="433" t="s">
        <v>73</v>
      </c>
      <c r="J164" s="433" t="s">
        <v>1538</v>
      </c>
      <c r="K164" s="433" t="s">
        <v>1322</v>
      </c>
      <c r="L164" s="433" t="s">
        <v>1323</v>
      </c>
      <c r="M164" s="434">
        <v>44197</v>
      </c>
      <c r="N164" s="434">
        <v>44561</v>
      </c>
      <c r="O164" s="433">
        <f>+R164+U164+X164+AA164+AD164+AG164+AJ164+AM164+AP164+AS164+AV164+AY164</f>
        <v>0</v>
      </c>
      <c r="P164" s="433">
        <v>15</v>
      </c>
      <c r="Q164" s="433">
        <v>0</v>
      </c>
      <c r="R164" s="433">
        <v>0</v>
      </c>
      <c r="S164" s="433" t="s">
        <v>1539</v>
      </c>
      <c r="T164" s="433">
        <v>0</v>
      </c>
      <c r="U164" s="433">
        <v>0</v>
      </c>
      <c r="V164" s="433" t="s">
        <v>1540</v>
      </c>
      <c r="W164" s="433">
        <v>0</v>
      </c>
      <c r="X164" s="433">
        <v>0</v>
      </c>
      <c r="Y164" s="436" t="s">
        <v>1541</v>
      </c>
      <c r="Z164" s="433">
        <v>0</v>
      </c>
      <c r="AA164" s="433">
        <v>0</v>
      </c>
      <c r="AB164" s="436" t="s">
        <v>1542</v>
      </c>
      <c r="AC164" s="433">
        <v>0</v>
      </c>
      <c r="AD164" s="433">
        <v>0</v>
      </c>
      <c r="AE164" s="436" t="s">
        <v>1543</v>
      </c>
      <c r="AF164" s="433">
        <v>0</v>
      </c>
      <c r="AG164" s="498">
        <v>0</v>
      </c>
      <c r="AH164" s="499" t="s">
        <v>1544</v>
      </c>
      <c r="AI164" s="433">
        <v>0</v>
      </c>
      <c r="AJ164" s="433"/>
      <c r="AK164" s="433"/>
      <c r="AL164" s="433">
        <v>0</v>
      </c>
      <c r="AM164" s="433"/>
      <c r="AN164" s="433"/>
      <c r="AO164" s="433">
        <v>0</v>
      </c>
      <c r="AP164" s="433"/>
      <c r="AQ164" s="433"/>
      <c r="AR164" s="433">
        <v>0</v>
      </c>
      <c r="AS164" s="433"/>
      <c r="AT164" s="433"/>
      <c r="AU164" s="433">
        <v>0</v>
      </c>
      <c r="AV164" s="433"/>
      <c r="AW164" s="433"/>
      <c r="AX164" s="433">
        <v>15</v>
      </c>
      <c r="AY164" s="435"/>
      <c r="AZ164" s="435"/>
      <c r="BA164" s="435">
        <f t="shared" si="8"/>
        <v>0</v>
      </c>
      <c r="BB164" s="435">
        <f t="shared" si="9"/>
        <v>0</v>
      </c>
      <c r="BC164" s="500" t="str">
        <f>+IF(BA164=0,+IF(BB164=0,"No programación, No avance",+IF(BB164&gt;0,+IF(BA164=0,BB164/P164))),BB164/BA164)</f>
        <v>No programación, No avance</v>
      </c>
    </row>
    <row r="165" spans="1:56" s="2" customFormat="1" ht="52.5" customHeight="1">
      <c r="A165" s="701"/>
      <c r="B165" s="715"/>
      <c r="C165" s="706"/>
      <c r="D165" s="706"/>
      <c r="E165" s="433" t="s">
        <v>1546</v>
      </c>
      <c r="F165" s="433" t="s">
        <v>531</v>
      </c>
      <c r="G165" s="433">
        <v>0.15</v>
      </c>
      <c r="H165" s="433" t="s">
        <v>179</v>
      </c>
      <c r="I165" s="433" t="s">
        <v>73</v>
      </c>
      <c r="J165" s="433" t="s">
        <v>1418</v>
      </c>
      <c r="K165" s="433" t="s">
        <v>1322</v>
      </c>
      <c r="L165" s="433" t="s">
        <v>1323</v>
      </c>
      <c r="M165" s="434">
        <v>44197</v>
      </c>
      <c r="N165" s="434">
        <v>44561</v>
      </c>
      <c r="O165" s="433">
        <f>+R165+U165+X165+AA165+AD165+AG165+AJ165+AM165+AP165+AS165+AV165+AY165</f>
        <v>0</v>
      </c>
      <c r="P165" s="433">
        <v>1</v>
      </c>
      <c r="Q165" s="433">
        <v>0</v>
      </c>
      <c r="R165" s="433">
        <v>0</v>
      </c>
      <c r="S165" s="433" t="s">
        <v>1547</v>
      </c>
      <c r="T165" s="433">
        <v>0</v>
      </c>
      <c r="U165" s="433">
        <v>0</v>
      </c>
      <c r="V165" s="433" t="s">
        <v>1548</v>
      </c>
      <c r="W165" s="433">
        <v>0</v>
      </c>
      <c r="X165" s="433">
        <v>0</v>
      </c>
      <c r="Y165" s="436" t="s">
        <v>1549</v>
      </c>
      <c r="Z165" s="433">
        <v>0</v>
      </c>
      <c r="AA165" s="433">
        <v>0</v>
      </c>
      <c r="AB165" s="436" t="s">
        <v>1550</v>
      </c>
      <c r="AC165" s="433">
        <v>0</v>
      </c>
      <c r="AD165" s="433">
        <v>0</v>
      </c>
      <c r="AE165" s="436" t="s">
        <v>1551</v>
      </c>
      <c r="AF165" s="433">
        <v>0</v>
      </c>
      <c r="AG165" s="498">
        <v>0</v>
      </c>
      <c r="AH165" s="513" t="s">
        <v>1552</v>
      </c>
      <c r="AI165" s="433">
        <v>1</v>
      </c>
      <c r="AJ165" s="433"/>
      <c r="AK165" s="433"/>
      <c r="AL165" s="433">
        <v>0</v>
      </c>
      <c r="AM165" s="433"/>
      <c r="AN165" s="433"/>
      <c r="AO165" s="433">
        <v>0</v>
      </c>
      <c r="AP165" s="433"/>
      <c r="AQ165" s="433"/>
      <c r="AR165" s="433">
        <v>0</v>
      </c>
      <c r="AS165" s="433"/>
      <c r="AT165" s="433"/>
      <c r="AU165" s="433">
        <v>0</v>
      </c>
      <c r="AV165" s="433"/>
      <c r="AW165" s="433"/>
      <c r="AX165" s="433">
        <v>0</v>
      </c>
      <c r="AY165" s="435"/>
      <c r="AZ165" s="435"/>
      <c r="BA165" s="435">
        <f t="shared" si="8"/>
        <v>0</v>
      </c>
      <c r="BB165" s="435">
        <f t="shared" si="9"/>
        <v>0</v>
      </c>
      <c r="BC165" s="500" t="str">
        <f>+IF(BA165=0,+IF(BB165=0,"No programación, No avance",+IF(BB165&gt;0,+IF(BA165=0,BB165/P165))),BB165/BA165)</f>
        <v>No programación, No avance</v>
      </c>
    </row>
    <row r="166" spans="1:56" s="2" customFormat="1" ht="52.5" customHeight="1">
      <c r="A166" s="701"/>
      <c r="B166" s="715"/>
      <c r="C166" s="706"/>
      <c r="D166" s="706"/>
      <c r="E166" s="433" t="s">
        <v>1554</v>
      </c>
      <c r="F166" s="433" t="s">
        <v>531</v>
      </c>
      <c r="G166" s="433">
        <v>0.05</v>
      </c>
      <c r="H166" s="433" t="s">
        <v>179</v>
      </c>
      <c r="I166" s="433" t="s">
        <v>73</v>
      </c>
      <c r="J166" s="433" t="s">
        <v>1555</v>
      </c>
      <c r="K166" s="433" t="s">
        <v>1322</v>
      </c>
      <c r="L166" s="433" t="s">
        <v>1323</v>
      </c>
      <c r="M166" s="434">
        <v>44197</v>
      </c>
      <c r="N166" s="434">
        <v>44561</v>
      </c>
      <c r="O166" s="433">
        <f>+R166+U166+X166+AA166+AD166+AG166+AJ166+AM166+AP166+AS166+AV166+AY166</f>
        <v>0</v>
      </c>
      <c r="P166" s="433">
        <v>1</v>
      </c>
      <c r="Q166" s="433">
        <v>0</v>
      </c>
      <c r="R166" s="433">
        <v>0</v>
      </c>
      <c r="S166" s="433" t="s">
        <v>1556</v>
      </c>
      <c r="T166" s="433">
        <v>0</v>
      </c>
      <c r="U166" s="433">
        <v>0</v>
      </c>
      <c r="V166" s="433" t="s">
        <v>1557</v>
      </c>
      <c r="W166" s="433">
        <v>0</v>
      </c>
      <c r="X166" s="433">
        <v>0</v>
      </c>
      <c r="Y166" s="436" t="s">
        <v>1558</v>
      </c>
      <c r="Z166" s="433">
        <v>0</v>
      </c>
      <c r="AA166" s="433">
        <v>0</v>
      </c>
      <c r="AB166" s="436" t="s">
        <v>1559</v>
      </c>
      <c r="AC166" s="433">
        <v>0</v>
      </c>
      <c r="AD166" s="433">
        <v>0</v>
      </c>
      <c r="AE166" s="436" t="s">
        <v>1560</v>
      </c>
      <c r="AF166" s="433">
        <v>0</v>
      </c>
      <c r="AG166" s="498">
        <v>0</v>
      </c>
      <c r="AH166" s="513" t="s">
        <v>1561</v>
      </c>
      <c r="AI166" s="433">
        <v>0</v>
      </c>
      <c r="AJ166" s="433"/>
      <c r="AK166" s="433"/>
      <c r="AL166" s="433">
        <v>0</v>
      </c>
      <c r="AM166" s="433"/>
      <c r="AN166" s="433"/>
      <c r="AO166" s="433">
        <v>0</v>
      </c>
      <c r="AP166" s="433"/>
      <c r="AQ166" s="433"/>
      <c r="AR166" s="433">
        <v>0</v>
      </c>
      <c r="AS166" s="433"/>
      <c r="AT166" s="433"/>
      <c r="AU166" s="433">
        <v>0</v>
      </c>
      <c r="AV166" s="433"/>
      <c r="AW166" s="433"/>
      <c r="AX166" s="433">
        <v>1</v>
      </c>
      <c r="AY166" s="435"/>
      <c r="AZ166" s="435"/>
      <c r="BA166" s="435">
        <f t="shared" si="8"/>
        <v>0</v>
      </c>
      <c r="BB166" s="435">
        <f t="shared" si="9"/>
        <v>0</v>
      </c>
      <c r="BC166" s="500" t="str">
        <f>+IF(BA166=0,+IF(BB166=0,"No programación, No avance",+IF(BB166&gt;0,+IF(BA166=0,BB166/P166))),BB166/BA166)</f>
        <v>No programación, No avance</v>
      </c>
    </row>
    <row r="167" spans="1:56" s="2" customFormat="1" ht="52.5" customHeight="1">
      <c r="A167" s="701"/>
      <c r="B167" s="715"/>
      <c r="C167" s="706"/>
      <c r="D167" s="706"/>
      <c r="E167" s="433" t="s">
        <v>1563</v>
      </c>
      <c r="F167" s="433" t="s">
        <v>531</v>
      </c>
      <c r="G167" s="433">
        <v>0.1</v>
      </c>
      <c r="H167" s="433" t="s">
        <v>179</v>
      </c>
      <c r="I167" s="433" t="s">
        <v>73</v>
      </c>
      <c r="J167" s="433" t="s">
        <v>66</v>
      </c>
      <c r="K167" s="433" t="s">
        <v>1322</v>
      </c>
      <c r="L167" s="433" t="s">
        <v>1323</v>
      </c>
      <c r="M167" s="434">
        <v>44197</v>
      </c>
      <c r="N167" s="434">
        <v>44561</v>
      </c>
      <c r="O167" s="433">
        <f>+R167+U167+X167+AA167+AD167+AG167+AJ167+AM167+AP167+AS167+AV167+AY167</f>
        <v>5</v>
      </c>
      <c r="P167" s="433">
        <v>2</v>
      </c>
      <c r="Q167" s="433">
        <v>0</v>
      </c>
      <c r="R167" s="433">
        <v>1</v>
      </c>
      <c r="S167" s="433" t="s">
        <v>1564</v>
      </c>
      <c r="T167" s="433">
        <v>0</v>
      </c>
      <c r="U167" s="433">
        <v>1</v>
      </c>
      <c r="V167" s="433" t="s">
        <v>1565</v>
      </c>
      <c r="W167" s="433">
        <v>1</v>
      </c>
      <c r="X167" s="433">
        <v>1</v>
      </c>
      <c r="Y167" s="436" t="s">
        <v>1565</v>
      </c>
      <c r="Z167" s="433">
        <v>0</v>
      </c>
      <c r="AA167" s="433">
        <v>2</v>
      </c>
      <c r="AB167" s="436" t="s">
        <v>1566</v>
      </c>
      <c r="AC167" s="433">
        <v>0</v>
      </c>
      <c r="AD167" s="433">
        <v>0</v>
      </c>
      <c r="AE167" s="436" t="s">
        <v>1567</v>
      </c>
      <c r="AF167" s="433">
        <v>0</v>
      </c>
      <c r="AG167" s="498">
        <v>0</v>
      </c>
      <c r="AH167" s="499" t="s">
        <v>1568</v>
      </c>
      <c r="AI167" s="433">
        <v>0</v>
      </c>
      <c r="AJ167" s="433"/>
      <c r="AK167" s="433"/>
      <c r="AL167" s="433">
        <v>0</v>
      </c>
      <c r="AM167" s="433"/>
      <c r="AN167" s="433"/>
      <c r="AO167" s="433">
        <v>0</v>
      </c>
      <c r="AP167" s="433"/>
      <c r="AQ167" s="433"/>
      <c r="AR167" s="433">
        <v>0</v>
      </c>
      <c r="AS167" s="433"/>
      <c r="AT167" s="433"/>
      <c r="AU167" s="433">
        <v>0</v>
      </c>
      <c r="AV167" s="433"/>
      <c r="AW167" s="433"/>
      <c r="AX167" s="433">
        <v>1</v>
      </c>
      <c r="AY167" s="435"/>
      <c r="AZ167" s="435"/>
      <c r="BA167" s="435">
        <f t="shared" si="8"/>
        <v>1</v>
      </c>
      <c r="BB167" s="435">
        <f t="shared" si="9"/>
        <v>5</v>
      </c>
      <c r="BC167" s="500">
        <f>+IF(BA167=0,+IF(BB167=0,"No programación, No avance",+IF(BB167&gt;0,+IF(BA167=0,BB167/P167))),BB167/BA167)</f>
        <v>5</v>
      </c>
    </row>
    <row r="168" spans="1:56" s="2" customFormat="1" ht="52.5" customHeight="1">
      <c r="A168" s="701"/>
      <c r="B168" s="715"/>
      <c r="C168" s="706"/>
      <c r="D168" s="706"/>
      <c r="E168" s="433" t="s">
        <v>1570</v>
      </c>
      <c r="F168" s="433" t="s">
        <v>531</v>
      </c>
      <c r="G168" s="433">
        <v>0.15</v>
      </c>
      <c r="H168" s="433" t="s">
        <v>179</v>
      </c>
      <c r="I168" s="433" t="s">
        <v>73</v>
      </c>
      <c r="J168" s="433" t="s">
        <v>1571</v>
      </c>
      <c r="K168" s="433" t="s">
        <v>1322</v>
      </c>
      <c r="L168" s="433" t="s">
        <v>1323</v>
      </c>
      <c r="M168" s="434">
        <v>44197</v>
      </c>
      <c r="N168" s="434">
        <v>44561</v>
      </c>
      <c r="O168" s="433">
        <f>+R168+U168+X168+AA168+AD168+AG168+AJ168+AM168+AP168+AS168+AV168+AY168</f>
        <v>0</v>
      </c>
      <c r="P168" s="433">
        <v>1</v>
      </c>
      <c r="Q168" s="433">
        <v>0</v>
      </c>
      <c r="R168" s="433">
        <v>0</v>
      </c>
      <c r="S168" s="433" t="s">
        <v>1572</v>
      </c>
      <c r="T168" s="433">
        <v>0</v>
      </c>
      <c r="U168" s="433">
        <v>0</v>
      </c>
      <c r="V168" s="433" t="s">
        <v>1573</v>
      </c>
      <c r="W168" s="433">
        <v>0</v>
      </c>
      <c r="X168" s="433">
        <v>0</v>
      </c>
      <c r="Y168" s="515" t="s">
        <v>1574</v>
      </c>
      <c r="Z168" s="433">
        <v>0</v>
      </c>
      <c r="AA168" s="433">
        <v>0</v>
      </c>
      <c r="AB168" s="436" t="s">
        <v>1575</v>
      </c>
      <c r="AC168" s="433">
        <v>0</v>
      </c>
      <c r="AD168" s="433">
        <v>0</v>
      </c>
      <c r="AE168" s="436" t="s">
        <v>1576</v>
      </c>
      <c r="AF168" s="433">
        <v>0</v>
      </c>
      <c r="AG168" s="498">
        <v>0</v>
      </c>
      <c r="AH168" s="499" t="s">
        <v>1577</v>
      </c>
      <c r="AI168" s="433">
        <v>0</v>
      </c>
      <c r="AJ168" s="433"/>
      <c r="AK168" s="433"/>
      <c r="AL168" s="433">
        <v>0</v>
      </c>
      <c r="AM168" s="433"/>
      <c r="AN168" s="433"/>
      <c r="AO168" s="433">
        <v>0</v>
      </c>
      <c r="AP168" s="433"/>
      <c r="AQ168" s="433"/>
      <c r="AR168" s="433">
        <v>0</v>
      </c>
      <c r="AS168" s="433"/>
      <c r="AT168" s="433"/>
      <c r="AU168" s="433">
        <v>0</v>
      </c>
      <c r="AV168" s="433"/>
      <c r="AW168" s="433"/>
      <c r="AX168" s="433">
        <v>1</v>
      </c>
      <c r="AY168" s="435"/>
      <c r="AZ168" s="435"/>
      <c r="BA168" s="435">
        <f t="shared" si="8"/>
        <v>0</v>
      </c>
      <c r="BB168" s="435">
        <f t="shared" si="9"/>
        <v>0</v>
      </c>
      <c r="BC168" s="500" t="str">
        <f>+IF(BA168=0,+IF(BB168=0,"No programación, No avance",+IF(BB168&gt;0,+IF(BA168=0,BB168/P168))),BB168/BA168)</f>
        <v>No programación, No avance</v>
      </c>
      <c r="BD168" s="47"/>
    </row>
    <row r="169" spans="1:56" s="2" customFormat="1" ht="52.5" customHeight="1">
      <c r="A169" s="701"/>
      <c r="B169" s="715"/>
      <c r="C169" s="706"/>
      <c r="D169" s="706"/>
      <c r="E169" s="433" t="s">
        <v>1579</v>
      </c>
      <c r="F169" s="433" t="s">
        <v>531</v>
      </c>
      <c r="G169" s="433">
        <v>0.05</v>
      </c>
      <c r="H169" s="433" t="s">
        <v>179</v>
      </c>
      <c r="I169" s="433" t="s">
        <v>73</v>
      </c>
      <c r="J169" s="433" t="s">
        <v>1580</v>
      </c>
      <c r="K169" s="433" t="s">
        <v>1322</v>
      </c>
      <c r="L169" s="433" t="s">
        <v>1323</v>
      </c>
      <c r="M169" s="434">
        <v>44197</v>
      </c>
      <c r="N169" s="434">
        <v>44561</v>
      </c>
      <c r="O169" s="433">
        <f>+R169+U169+X169+AA169+AD169+AG169+AJ169+AM169+AP169+AS169+AV169+AY169</f>
        <v>0</v>
      </c>
      <c r="P169" s="433">
        <v>1</v>
      </c>
      <c r="Q169" s="433">
        <v>0</v>
      </c>
      <c r="R169" s="433">
        <v>0</v>
      </c>
      <c r="S169" s="433" t="s">
        <v>1581</v>
      </c>
      <c r="T169" s="433">
        <v>0</v>
      </c>
      <c r="U169" s="433">
        <v>0</v>
      </c>
      <c r="V169" s="433" t="s">
        <v>1582</v>
      </c>
      <c r="W169" s="433">
        <v>0</v>
      </c>
      <c r="X169" s="433">
        <v>0</v>
      </c>
      <c r="Y169" s="515" t="s">
        <v>1583</v>
      </c>
      <c r="Z169" s="433">
        <v>0</v>
      </c>
      <c r="AA169" s="433">
        <v>0</v>
      </c>
      <c r="AB169" s="436" t="s">
        <v>1584</v>
      </c>
      <c r="AC169" s="433">
        <v>0</v>
      </c>
      <c r="AD169" s="433">
        <v>0</v>
      </c>
      <c r="AE169" s="436" t="s">
        <v>1585</v>
      </c>
      <c r="AF169" s="433">
        <v>0</v>
      </c>
      <c r="AG169" s="498">
        <v>0</v>
      </c>
      <c r="AH169" s="499" t="s">
        <v>1577</v>
      </c>
      <c r="AI169" s="433">
        <v>0</v>
      </c>
      <c r="AJ169" s="433"/>
      <c r="AK169" s="433"/>
      <c r="AL169" s="433">
        <v>0</v>
      </c>
      <c r="AM169" s="433"/>
      <c r="AN169" s="433"/>
      <c r="AO169" s="433">
        <v>0</v>
      </c>
      <c r="AP169" s="433"/>
      <c r="AQ169" s="433"/>
      <c r="AR169" s="433">
        <v>0</v>
      </c>
      <c r="AS169" s="433"/>
      <c r="AT169" s="433"/>
      <c r="AU169" s="433">
        <v>0</v>
      </c>
      <c r="AV169" s="433"/>
      <c r="AW169" s="433"/>
      <c r="AX169" s="433">
        <v>1</v>
      </c>
      <c r="AY169" s="435"/>
      <c r="AZ169" s="435"/>
      <c r="BA169" s="435">
        <f t="shared" si="8"/>
        <v>0</v>
      </c>
      <c r="BB169" s="435">
        <f t="shared" si="9"/>
        <v>0</v>
      </c>
      <c r="BC169" s="500" t="str">
        <f>+IF(BA169=0,+IF(BB169=0,"No programación, No avance",+IF(BB169&gt;0,+IF(BA169=0,BB169/P169))),BB169/BA169)</f>
        <v>No programación, No avance</v>
      </c>
      <c r="BD169" s="47"/>
    </row>
    <row r="170" spans="1:56" s="2" customFormat="1" ht="52.5" customHeight="1">
      <c r="A170" s="701"/>
      <c r="B170" s="715"/>
      <c r="C170" s="706"/>
      <c r="D170" s="706"/>
      <c r="E170" s="433" t="s">
        <v>1587</v>
      </c>
      <c r="F170" s="433" t="s">
        <v>531</v>
      </c>
      <c r="G170" s="433">
        <v>0.05</v>
      </c>
      <c r="H170" s="433" t="s">
        <v>179</v>
      </c>
      <c r="I170" s="433" t="s">
        <v>73</v>
      </c>
      <c r="J170" s="433" t="s">
        <v>60</v>
      </c>
      <c r="K170" s="433" t="s">
        <v>1322</v>
      </c>
      <c r="L170" s="433" t="s">
        <v>1323</v>
      </c>
      <c r="M170" s="434">
        <v>44197</v>
      </c>
      <c r="N170" s="434">
        <v>44561</v>
      </c>
      <c r="O170" s="433">
        <f>+R170+U170+X170+AA170+AD170+AG170+AJ170+AM170+AP170+AS170+AV170+AY170</f>
        <v>0</v>
      </c>
      <c r="P170" s="433">
        <v>1</v>
      </c>
      <c r="Q170" s="433">
        <v>0</v>
      </c>
      <c r="R170" s="433">
        <v>0</v>
      </c>
      <c r="S170" s="433" t="s">
        <v>1588</v>
      </c>
      <c r="T170" s="433">
        <v>0</v>
      </c>
      <c r="U170" s="433">
        <v>0</v>
      </c>
      <c r="V170" s="433" t="s">
        <v>1588</v>
      </c>
      <c r="W170" s="433">
        <v>0</v>
      </c>
      <c r="X170" s="433">
        <v>0</v>
      </c>
      <c r="Y170" s="436" t="s">
        <v>1589</v>
      </c>
      <c r="Z170" s="433">
        <v>0</v>
      </c>
      <c r="AA170" s="433">
        <v>0</v>
      </c>
      <c r="AB170" s="436" t="s">
        <v>1590</v>
      </c>
      <c r="AC170" s="433">
        <v>0</v>
      </c>
      <c r="AD170" s="433">
        <v>0</v>
      </c>
      <c r="AE170" s="436" t="s">
        <v>1591</v>
      </c>
      <c r="AF170" s="433">
        <v>0</v>
      </c>
      <c r="AG170" s="498">
        <v>0</v>
      </c>
      <c r="AH170" s="499" t="s">
        <v>1592</v>
      </c>
      <c r="AI170" s="433">
        <v>0</v>
      </c>
      <c r="AJ170" s="433"/>
      <c r="AK170" s="433"/>
      <c r="AL170" s="433">
        <v>0</v>
      </c>
      <c r="AM170" s="433"/>
      <c r="AN170" s="433"/>
      <c r="AO170" s="433">
        <v>0</v>
      </c>
      <c r="AP170" s="433"/>
      <c r="AQ170" s="433"/>
      <c r="AR170" s="433">
        <v>0</v>
      </c>
      <c r="AS170" s="433"/>
      <c r="AT170" s="433"/>
      <c r="AU170" s="433">
        <v>0</v>
      </c>
      <c r="AV170" s="433"/>
      <c r="AW170" s="433"/>
      <c r="AX170" s="433">
        <v>1</v>
      </c>
      <c r="AY170" s="435"/>
      <c r="AZ170" s="435"/>
      <c r="BA170" s="435">
        <f t="shared" si="8"/>
        <v>0</v>
      </c>
      <c r="BB170" s="435">
        <f t="shared" si="9"/>
        <v>0</v>
      </c>
      <c r="BC170" s="500" t="str">
        <f>+IF(BA170=0,+IF(BB170=0,"No programación, No avance",+IF(BB170&gt;0,+IF(BA170=0,BB170/P170))),BB170/BA170)</f>
        <v>No programación, No avance</v>
      </c>
    </row>
    <row r="171" spans="1:56" s="2" customFormat="1" ht="52.5" customHeight="1">
      <c r="A171" s="701"/>
      <c r="B171" s="715"/>
      <c r="C171" s="706"/>
      <c r="D171" s="706"/>
      <c r="E171" s="433" t="s">
        <v>1594</v>
      </c>
      <c r="F171" s="433" t="s">
        <v>531</v>
      </c>
      <c r="G171" s="433">
        <v>0.1</v>
      </c>
      <c r="H171" s="433" t="s">
        <v>179</v>
      </c>
      <c r="I171" s="433" t="s">
        <v>73</v>
      </c>
      <c r="J171" s="433" t="s">
        <v>1595</v>
      </c>
      <c r="K171" s="433" t="s">
        <v>1322</v>
      </c>
      <c r="L171" s="433" t="s">
        <v>1323</v>
      </c>
      <c r="M171" s="434">
        <v>44197</v>
      </c>
      <c r="N171" s="434">
        <v>44561</v>
      </c>
      <c r="O171" s="433">
        <f>+R171+U171+X171+AA171+AD171+AG171+AJ171+AM171+AP171+AS171+AV171+AY171</f>
        <v>0</v>
      </c>
      <c r="P171" s="433">
        <v>1</v>
      </c>
      <c r="Q171" s="433">
        <v>0</v>
      </c>
      <c r="R171" s="433">
        <v>0</v>
      </c>
      <c r="S171" s="433" t="s">
        <v>1596</v>
      </c>
      <c r="T171" s="433">
        <v>0</v>
      </c>
      <c r="U171" s="433">
        <v>0</v>
      </c>
      <c r="V171" s="433" t="s">
        <v>1596</v>
      </c>
      <c r="W171" s="433">
        <v>0</v>
      </c>
      <c r="X171" s="433">
        <v>0</v>
      </c>
      <c r="Y171" s="436" t="s">
        <v>1597</v>
      </c>
      <c r="Z171" s="433">
        <v>0</v>
      </c>
      <c r="AA171" s="433">
        <v>0</v>
      </c>
      <c r="AB171" s="436" t="s">
        <v>1542</v>
      </c>
      <c r="AC171" s="433">
        <v>0</v>
      </c>
      <c r="AD171" s="433">
        <v>0</v>
      </c>
      <c r="AE171" s="436" t="s">
        <v>1598</v>
      </c>
      <c r="AF171" s="433">
        <v>0</v>
      </c>
      <c r="AG171" s="498">
        <v>0</v>
      </c>
      <c r="AH171" s="499" t="s">
        <v>1599</v>
      </c>
      <c r="AI171" s="433">
        <v>0</v>
      </c>
      <c r="AJ171" s="433"/>
      <c r="AK171" s="433"/>
      <c r="AL171" s="433">
        <v>0</v>
      </c>
      <c r="AM171" s="433"/>
      <c r="AN171" s="433"/>
      <c r="AO171" s="433">
        <v>0</v>
      </c>
      <c r="AP171" s="433"/>
      <c r="AQ171" s="433"/>
      <c r="AR171" s="433">
        <v>0</v>
      </c>
      <c r="AS171" s="433"/>
      <c r="AT171" s="433"/>
      <c r="AU171" s="433">
        <v>0</v>
      </c>
      <c r="AV171" s="433"/>
      <c r="AW171" s="433"/>
      <c r="AX171" s="433">
        <v>1</v>
      </c>
      <c r="AY171" s="435"/>
      <c r="AZ171" s="435"/>
      <c r="BA171" s="435">
        <f t="shared" si="8"/>
        <v>0</v>
      </c>
      <c r="BB171" s="435">
        <f t="shared" si="9"/>
        <v>0</v>
      </c>
      <c r="BC171" s="500" t="str">
        <f>+IF(BA171=0,+IF(BB171=0,"No programación, No avance",+IF(BB171&gt;0,+IF(BA171=0,BB171/P171))),BB171/BA171)</f>
        <v>No programación, No avance</v>
      </c>
    </row>
    <row r="172" spans="1:56" s="2" customFormat="1" ht="52.5" customHeight="1">
      <c r="A172" s="701"/>
      <c r="B172" s="715"/>
      <c r="C172" s="706" t="s">
        <v>186</v>
      </c>
      <c r="D172" s="706" t="s">
        <v>1601</v>
      </c>
      <c r="E172" s="433" t="s">
        <v>1602</v>
      </c>
      <c r="F172" s="433" t="s">
        <v>531</v>
      </c>
      <c r="G172" s="433">
        <v>0.2</v>
      </c>
      <c r="H172" s="433" t="s">
        <v>179</v>
      </c>
      <c r="I172" s="433" t="s">
        <v>73</v>
      </c>
      <c r="J172" s="433" t="s">
        <v>1418</v>
      </c>
      <c r="K172" s="433" t="s">
        <v>1322</v>
      </c>
      <c r="L172" s="433" t="s">
        <v>1323</v>
      </c>
      <c r="M172" s="434">
        <v>44197</v>
      </c>
      <c r="N172" s="434">
        <v>44561</v>
      </c>
      <c r="O172" s="433">
        <f>+R172+U172+X172+AA172+AD172+AG172+AJ172+AM172+AP172+AS172+AV172+AY172</f>
        <v>0</v>
      </c>
      <c r="P172" s="433">
        <v>1</v>
      </c>
      <c r="Q172" s="433">
        <v>0</v>
      </c>
      <c r="R172" s="433">
        <v>0</v>
      </c>
      <c r="S172" s="433" t="s">
        <v>1530</v>
      </c>
      <c r="T172" s="433">
        <v>0</v>
      </c>
      <c r="U172" s="433">
        <v>0</v>
      </c>
      <c r="V172" s="433" t="s">
        <v>1603</v>
      </c>
      <c r="W172" s="433">
        <v>0</v>
      </c>
      <c r="X172" s="433">
        <v>0</v>
      </c>
      <c r="Y172" s="436" t="s">
        <v>1603</v>
      </c>
      <c r="Z172" s="433">
        <v>0</v>
      </c>
      <c r="AA172" s="433">
        <v>0</v>
      </c>
      <c r="AB172" s="436" t="s">
        <v>1604</v>
      </c>
      <c r="AC172" s="433">
        <v>0</v>
      </c>
      <c r="AD172" s="433">
        <v>0</v>
      </c>
      <c r="AE172" s="436" t="s">
        <v>1605</v>
      </c>
      <c r="AF172" s="433">
        <v>0</v>
      </c>
      <c r="AG172" s="498">
        <v>0</v>
      </c>
      <c r="AH172" s="499" t="s">
        <v>1606</v>
      </c>
      <c r="AI172" s="433">
        <v>0</v>
      </c>
      <c r="AJ172" s="433"/>
      <c r="AK172" s="433"/>
      <c r="AL172" s="433">
        <v>0</v>
      </c>
      <c r="AM172" s="433"/>
      <c r="AN172" s="433"/>
      <c r="AO172" s="433">
        <v>0</v>
      </c>
      <c r="AP172" s="433"/>
      <c r="AQ172" s="433"/>
      <c r="AR172" s="433">
        <v>0</v>
      </c>
      <c r="AS172" s="433"/>
      <c r="AT172" s="433"/>
      <c r="AU172" s="433">
        <v>0</v>
      </c>
      <c r="AV172" s="433"/>
      <c r="AW172" s="433"/>
      <c r="AX172" s="433">
        <v>1</v>
      </c>
      <c r="AY172" s="435"/>
      <c r="AZ172" s="435"/>
      <c r="BA172" s="435">
        <f t="shared" si="8"/>
        <v>0</v>
      </c>
      <c r="BB172" s="435">
        <f t="shared" si="9"/>
        <v>0</v>
      </c>
      <c r="BC172" s="500" t="str">
        <f>+IF(BA172=0,+IF(BB172=0,"No programación, No avance",+IF(BB172&gt;0,+IF(BA172=0,BB172/P172))),BB172/BA172)</f>
        <v>No programación, No avance</v>
      </c>
    </row>
    <row r="173" spans="1:56" s="2" customFormat="1" ht="52.5" customHeight="1">
      <c r="A173" s="701"/>
      <c r="B173" s="715"/>
      <c r="C173" s="706"/>
      <c r="D173" s="706"/>
      <c r="E173" s="516" t="s">
        <v>1608</v>
      </c>
      <c r="F173" s="433" t="s">
        <v>531</v>
      </c>
      <c r="G173" s="433">
        <v>0.1</v>
      </c>
      <c r="H173" s="433" t="s">
        <v>179</v>
      </c>
      <c r="I173" s="433" t="s">
        <v>73</v>
      </c>
      <c r="J173" s="433" t="s">
        <v>1609</v>
      </c>
      <c r="K173" s="433" t="s">
        <v>1322</v>
      </c>
      <c r="L173" s="433" t="s">
        <v>1323</v>
      </c>
      <c r="M173" s="434">
        <v>44197</v>
      </c>
      <c r="N173" s="434">
        <v>44561</v>
      </c>
      <c r="O173" s="433">
        <f>+R173+U173+X173+AA173+AD173+AG173+AJ173+AM173+AP173+AS173+AV173+AY173</f>
        <v>0</v>
      </c>
      <c r="P173" s="433">
        <v>1</v>
      </c>
      <c r="Q173" s="433">
        <v>0</v>
      </c>
      <c r="R173" s="433">
        <v>0</v>
      </c>
      <c r="S173" s="433" t="s">
        <v>1530</v>
      </c>
      <c r="T173" s="433">
        <v>0</v>
      </c>
      <c r="U173" s="433">
        <v>0</v>
      </c>
      <c r="V173" s="433" t="s">
        <v>1610</v>
      </c>
      <c r="W173" s="433">
        <v>0</v>
      </c>
      <c r="X173" s="433">
        <v>0</v>
      </c>
      <c r="Y173" s="436" t="s">
        <v>1611</v>
      </c>
      <c r="Z173" s="433">
        <v>0</v>
      </c>
      <c r="AA173" s="433">
        <v>0</v>
      </c>
      <c r="AB173" s="436" t="s">
        <v>1612</v>
      </c>
      <c r="AC173" s="433">
        <v>0</v>
      </c>
      <c r="AD173" s="433">
        <v>0</v>
      </c>
      <c r="AE173" s="436" t="s">
        <v>1613</v>
      </c>
      <c r="AF173" s="433">
        <v>0</v>
      </c>
      <c r="AG173" s="498">
        <v>0</v>
      </c>
      <c r="AH173" s="517" t="s">
        <v>1614</v>
      </c>
      <c r="AI173" s="433">
        <v>0</v>
      </c>
      <c r="AJ173" s="433"/>
      <c r="AK173" s="433"/>
      <c r="AL173" s="433">
        <v>0</v>
      </c>
      <c r="AM173" s="433"/>
      <c r="AN173" s="433"/>
      <c r="AO173" s="433">
        <v>0</v>
      </c>
      <c r="AP173" s="433"/>
      <c r="AQ173" s="433"/>
      <c r="AR173" s="433">
        <v>0</v>
      </c>
      <c r="AS173" s="433"/>
      <c r="AT173" s="433"/>
      <c r="AU173" s="433">
        <v>0</v>
      </c>
      <c r="AV173" s="433"/>
      <c r="AW173" s="433"/>
      <c r="AX173" s="433">
        <v>1</v>
      </c>
      <c r="AY173" s="435"/>
      <c r="AZ173" s="435"/>
      <c r="BA173" s="435">
        <f t="shared" si="8"/>
        <v>0</v>
      </c>
      <c r="BB173" s="435">
        <f t="shared" si="9"/>
        <v>0</v>
      </c>
      <c r="BC173" s="500" t="str">
        <f>+IF(BA173=0,+IF(BB173=0,"No programación, No avance",+IF(BB173&gt;0,+IF(BA173=0,BB173/P173))),BB173/BA173)</f>
        <v>No programación, No avance</v>
      </c>
    </row>
    <row r="174" spans="1:56" s="2" customFormat="1" ht="52.5" customHeight="1">
      <c r="A174" s="701"/>
      <c r="B174" s="715"/>
      <c r="C174" s="706"/>
      <c r="D174" s="706"/>
      <c r="E174" s="516" t="s">
        <v>1616</v>
      </c>
      <c r="F174" s="433" t="s">
        <v>531</v>
      </c>
      <c r="G174" s="433">
        <v>0.1</v>
      </c>
      <c r="H174" s="433" t="s">
        <v>179</v>
      </c>
      <c r="I174" s="433" t="s">
        <v>73</v>
      </c>
      <c r="J174" s="433" t="s">
        <v>1609</v>
      </c>
      <c r="K174" s="433" t="s">
        <v>1322</v>
      </c>
      <c r="L174" s="433" t="s">
        <v>1323</v>
      </c>
      <c r="M174" s="434">
        <v>44197</v>
      </c>
      <c r="N174" s="434">
        <v>44561</v>
      </c>
      <c r="O174" s="433">
        <f>+R174+U174+X174+AA174+AD174+AG174+AJ174+AM174+AP174+AS174+AV174+AY174</f>
        <v>0</v>
      </c>
      <c r="P174" s="433">
        <v>1</v>
      </c>
      <c r="Q174" s="433">
        <v>0</v>
      </c>
      <c r="R174" s="433">
        <v>0</v>
      </c>
      <c r="S174" s="433" t="s">
        <v>1530</v>
      </c>
      <c r="T174" s="433">
        <v>0</v>
      </c>
      <c r="U174" s="433">
        <v>0</v>
      </c>
      <c r="V174" s="433" t="s">
        <v>1617</v>
      </c>
      <c r="W174" s="433">
        <v>0</v>
      </c>
      <c r="X174" s="433">
        <v>0</v>
      </c>
      <c r="Y174" s="436" t="s">
        <v>1618</v>
      </c>
      <c r="Z174" s="433">
        <v>0</v>
      </c>
      <c r="AA174" s="433">
        <v>0</v>
      </c>
      <c r="AB174" s="436" t="s">
        <v>1619</v>
      </c>
      <c r="AC174" s="433">
        <v>0</v>
      </c>
      <c r="AD174" s="433">
        <v>0</v>
      </c>
      <c r="AE174" s="436" t="s">
        <v>1620</v>
      </c>
      <c r="AF174" s="433">
        <v>0</v>
      </c>
      <c r="AG174" s="498">
        <v>0</v>
      </c>
      <c r="AH174" s="518" t="s">
        <v>1621</v>
      </c>
      <c r="AI174" s="433">
        <v>0</v>
      </c>
      <c r="AJ174" s="433"/>
      <c r="AK174" s="433"/>
      <c r="AL174" s="433">
        <v>0</v>
      </c>
      <c r="AM174" s="433"/>
      <c r="AN174" s="433"/>
      <c r="AO174" s="433">
        <v>0</v>
      </c>
      <c r="AP174" s="433"/>
      <c r="AQ174" s="433"/>
      <c r="AR174" s="433">
        <v>0</v>
      </c>
      <c r="AS174" s="433"/>
      <c r="AT174" s="433"/>
      <c r="AU174" s="433">
        <v>0</v>
      </c>
      <c r="AV174" s="433"/>
      <c r="AW174" s="433"/>
      <c r="AX174" s="433">
        <v>1</v>
      </c>
      <c r="AY174" s="435"/>
      <c r="AZ174" s="435"/>
      <c r="BA174" s="435">
        <f t="shared" si="8"/>
        <v>0</v>
      </c>
      <c r="BB174" s="435">
        <f t="shared" si="9"/>
        <v>0</v>
      </c>
      <c r="BC174" s="500" t="str">
        <f>+IF(BA174=0,+IF(BB174=0,"No programación, No avance",+IF(BB174&gt;0,+IF(BA174=0,BB174/P174))),BB174/BA174)</f>
        <v>No programación, No avance</v>
      </c>
    </row>
    <row r="175" spans="1:56" s="2" customFormat="1" ht="52.5" customHeight="1">
      <c r="A175" s="701"/>
      <c r="B175" s="715"/>
      <c r="C175" s="706"/>
      <c r="D175" s="706"/>
      <c r="E175" s="516" t="s">
        <v>1623</v>
      </c>
      <c r="F175" s="433" t="s">
        <v>531</v>
      </c>
      <c r="G175" s="433">
        <v>0.25</v>
      </c>
      <c r="H175" s="433" t="s">
        <v>179</v>
      </c>
      <c r="I175" s="433" t="s">
        <v>73</v>
      </c>
      <c r="J175" s="433" t="s">
        <v>1624</v>
      </c>
      <c r="K175" s="433" t="s">
        <v>1322</v>
      </c>
      <c r="L175" s="433" t="s">
        <v>1323</v>
      </c>
      <c r="M175" s="434">
        <v>44197</v>
      </c>
      <c r="N175" s="434">
        <v>44561</v>
      </c>
      <c r="O175" s="433">
        <f>+R175+U175+X175+AA175+AD175+AG175+AJ175+AM175+AP175+AS175+AV175+AY175</f>
        <v>0</v>
      </c>
      <c r="P175" s="433">
        <v>3</v>
      </c>
      <c r="Q175" s="433">
        <v>0</v>
      </c>
      <c r="R175" s="433">
        <v>0</v>
      </c>
      <c r="S175" s="433" t="s">
        <v>1530</v>
      </c>
      <c r="T175" s="433">
        <v>0</v>
      </c>
      <c r="U175" s="433">
        <v>0</v>
      </c>
      <c r="V175" s="433" t="s">
        <v>1625</v>
      </c>
      <c r="W175" s="433">
        <v>0</v>
      </c>
      <c r="X175" s="433">
        <v>0</v>
      </c>
      <c r="Y175" s="436" t="s">
        <v>1626</v>
      </c>
      <c r="Z175" s="433">
        <v>0</v>
      </c>
      <c r="AA175" s="433">
        <v>0</v>
      </c>
      <c r="AB175" s="436" t="s">
        <v>1627</v>
      </c>
      <c r="AC175" s="433">
        <v>0</v>
      </c>
      <c r="AD175" s="433">
        <v>0</v>
      </c>
      <c r="AE175" s="436" t="s">
        <v>1628</v>
      </c>
      <c r="AF175" s="433">
        <v>0</v>
      </c>
      <c r="AG175" s="498">
        <v>0</v>
      </c>
      <c r="AH175" s="499" t="s">
        <v>1629</v>
      </c>
      <c r="AI175" s="433">
        <v>0</v>
      </c>
      <c r="AJ175" s="433"/>
      <c r="AK175" s="433"/>
      <c r="AL175" s="433">
        <v>0</v>
      </c>
      <c r="AM175" s="433"/>
      <c r="AN175" s="433"/>
      <c r="AO175" s="433">
        <v>0</v>
      </c>
      <c r="AP175" s="433"/>
      <c r="AQ175" s="433"/>
      <c r="AR175" s="433">
        <v>0</v>
      </c>
      <c r="AS175" s="433"/>
      <c r="AT175" s="433"/>
      <c r="AU175" s="433">
        <v>0</v>
      </c>
      <c r="AV175" s="433"/>
      <c r="AW175" s="433"/>
      <c r="AX175" s="433">
        <v>3</v>
      </c>
      <c r="AY175" s="435"/>
      <c r="AZ175" s="435"/>
      <c r="BA175" s="435">
        <f t="shared" si="8"/>
        <v>0</v>
      </c>
      <c r="BB175" s="435">
        <f t="shared" si="9"/>
        <v>0</v>
      </c>
      <c r="BC175" s="500" t="str">
        <f>+IF(BA175=0,+IF(BB175=0,"No programación, No avance",+IF(BB175&gt;0,+IF(BA175=0,BB175/P175))),BB175/BA175)</f>
        <v>No programación, No avance</v>
      </c>
    </row>
    <row r="176" spans="1:56" s="2" customFormat="1" ht="52.5" customHeight="1">
      <c r="A176" s="701"/>
      <c r="B176" s="715"/>
      <c r="C176" s="706"/>
      <c r="D176" s="706"/>
      <c r="E176" s="433" t="s">
        <v>1631</v>
      </c>
      <c r="F176" s="433" t="s">
        <v>531</v>
      </c>
      <c r="G176" s="433">
        <v>0.1</v>
      </c>
      <c r="H176" s="433" t="s">
        <v>179</v>
      </c>
      <c r="I176" s="433" t="s">
        <v>73</v>
      </c>
      <c r="J176" s="433" t="s">
        <v>1609</v>
      </c>
      <c r="K176" s="433" t="s">
        <v>1322</v>
      </c>
      <c r="L176" s="433" t="s">
        <v>1323</v>
      </c>
      <c r="M176" s="434">
        <v>44197</v>
      </c>
      <c r="N176" s="434">
        <v>44561</v>
      </c>
      <c r="O176" s="433">
        <f>+R176+U176+X176+AA176+AD176+AG176+AJ176+AM176+AP176+AS176+AV176+AY176</f>
        <v>1</v>
      </c>
      <c r="P176" s="433">
        <v>1</v>
      </c>
      <c r="Q176" s="433">
        <v>0</v>
      </c>
      <c r="R176" s="433">
        <v>1</v>
      </c>
      <c r="S176" s="433" t="s">
        <v>1530</v>
      </c>
      <c r="T176" s="433">
        <v>0</v>
      </c>
      <c r="U176" s="433">
        <v>0</v>
      </c>
      <c r="V176" s="433" t="s">
        <v>1632</v>
      </c>
      <c r="W176" s="433">
        <v>0</v>
      </c>
      <c r="X176" s="433">
        <v>0</v>
      </c>
      <c r="Y176" s="436" t="s">
        <v>1632</v>
      </c>
      <c r="Z176" s="433">
        <v>0</v>
      </c>
      <c r="AA176" s="433">
        <v>0</v>
      </c>
      <c r="AB176" s="436" t="s">
        <v>1632</v>
      </c>
      <c r="AC176" s="433">
        <v>0</v>
      </c>
      <c r="AD176" s="433">
        <v>0</v>
      </c>
      <c r="AE176" s="436" t="s">
        <v>1632</v>
      </c>
      <c r="AF176" s="433">
        <v>0</v>
      </c>
      <c r="AG176" s="498">
        <v>0</v>
      </c>
      <c r="AH176" s="513" t="s">
        <v>1632</v>
      </c>
      <c r="AI176" s="433">
        <v>0</v>
      </c>
      <c r="AJ176" s="433"/>
      <c r="AK176" s="433"/>
      <c r="AL176" s="433">
        <v>0</v>
      </c>
      <c r="AM176" s="433"/>
      <c r="AN176" s="433"/>
      <c r="AO176" s="433">
        <v>0</v>
      </c>
      <c r="AP176" s="433"/>
      <c r="AQ176" s="433"/>
      <c r="AR176" s="433">
        <v>0</v>
      </c>
      <c r="AS176" s="433"/>
      <c r="AT176" s="433"/>
      <c r="AU176" s="433">
        <v>0</v>
      </c>
      <c r="AV176" s="433"/>
      <c r="AW176" s="433"/>
      <c r="AX176" s="433">
        <v>1</v>
      </c>
      <c r="AY176" s="435"/>
      <c r="AZ176" s="435"/>
      <c r="BA176" s="435">
        <f t="shared" si="8"/>
        <v>0</v>
      </c>
      <c r="BB176" s="435">
        <f t="shared" si="9"/>
        <v>1</v>
      </c>
      <c r="BC176" s="500">
        <f>+IF(BA176=0,+IF(BB176=0,"No programación, No avance",+IF(BB176&gt;0,+IF(BA176=0,BB176/P176))),BB176/BA176)</f>
        <v>1</v>
      </c>
    </row>
    <row r="177" spans="1:56" s="2" customFormat="1" ht="52.5" customHeight="1">
      <c r="A177" s="701"/>
      <c r="B177" s="715"/>
      <c r="C177" s="706"/>
      <c r="D177" s="706"/>
      <c r="E177" s="516" t="s">
        <v>1634</v>
      </c>
      <c r="F177" s="433" t="s">
        <v>531</v>
      </c>
      <c r="G177" s="433">
        <v>0.1</v>
      </c>
      <c r="H177" s="433" t="s">
        <v>179</v>
      </c>
      <c r="I177" s="433" t="s">
        <v>73</v>
      </c>
      <c r="J177" s="433" t="s">
        <v>1609</v>
      </c>
      <c r="K177" s="433" t="s">
        <v>1322</v>
      </c>
      <c r="L177" s="433" t="s">
        <v>1323</v>
      </c>
      <c r="M177" s="434">
        <v>44197</v>
      </c>
      <c r="N177" s="434">
        <v>44561</v>
      </c>
      <c r="O177" s="433">
        <f>+R177+U177+X177+AA177+AD177+AG177+AJ177+AM177+AP177+AS177+AV177+AY177</f>
        <v>0</v>
      </c>
      <c r="P177" s="433">
        <v>1</v>
      </c>
      <c r="Q177" s="433">
        <v>0</v>
      </c>
      <c r="R177" s="433">
        <v>0</v>
      </c>
      <c r="S177" s="433" t="s">
        <v>1530</v>
      </c>
      <c r="T177" s="433">
        <v>0</v>
      </c>
      <c r="U177" s="433">
        <v>0</v>
      </c>
      <c r="V177" s="433" t="s">
        <v>1635</v>
      </c>
      <c r="W177" s="433">
        <v>0</v>
      </c>
      <c r="X177" s="433">
        <v>0</v>
      </c>
      <c r="Y177" s="436" t="s">
        <v>1636</v>
      </c>
      <c r="Z177" s="433">
        <v>0</v>
      </c>
      <c r="AA177" s="433">
        <v>0</v>
      </c>
      <c r="AB177" s="436" t="s">
        <v>1637</v>
      </c>
      <c r="AC177" s="433">
        <v>0</v>
      </c>
      <c r="AD177" s="433">
        <v>0</v>
      </c>
      <c r="AE177" s="436" t="s">
        <v>1638</v>
      </c>
      <c r="AF177" s="433">
        <v>0</v>
      </c>
      <c r="AG177" s="498">
        <v>0</v>
      </c>
      <c r="AH177" s="513" t="s">
        <v>1639</v>
      </c>
      <c r="AI177" s="433">
        <v>0</v>
      </c>
      <c r="AJ177" s="433"/>
      <c r="AK177" s="433"/>
      <c r="AL177" s="433">
        <v>0</v>
      </c>
      <c r="AM177" s="433"/>
      <c r="AN177" s="433"/>
      <c r="AO177" s="433">
        <v>0</v>
      </c>
      <c r="AP177" s="433"/>
      <c r="AQ177" s="433"/>
      <c r="AR177" s="433">
        <v>0</v>
      </c>
      <c r="AS177" s="433"/>
      <c r="AT177" s="433"/>
      <c r="AU177" s="433">
        <v>0</v>
      </c>
      <c r="AV177" s="433"/>
      <c r="AW177" s="433"/>
      <c r="AX177" s="433">
        <v>1</v>
      </c>
      <c r="AY177" s="435"/>
      <c r="AZ177" s="435"/>
      <c r="BA177" s="435">
        <f t="shared" si="8"/>
        <v>0</v>
      </c>
      <c r="BB177" s="435">
        <f t="shared" si="9"/>
        <v>0</v>
      </c>
      <c r="BC177" s="500" t="str">
        <f>+IF(BA177=0,+IF(BB177=0,"No programación, No avance",+IF(BB177&gt;0,+IF(BA177=0,BB177/P177))),BB177/BA177)</f>
        <v>No programación, No avance</v>
      </c>
    </row>
    <row r="178" spans="1:56" s="2" customFormat="1" ht="52.5" customHeight="1">
      <c r="A178" s="701"/>
      <c r="B178" s="715"/>
      <c r="C178" s="706"/>
      <c r="D178" s="706"/>
      <c r="E178" s="433" t="s">
        <v>1641</v>
      </c>
      <c r="F178" s="433" t="s">
        <v>531</v>
      </c>
      <c r="G178" s="433">
        <v>0.15</v>
      </c>
      <c r="H178" s="433" t="s">
        <v>179</v>
      </c>
      <c r="I178" s="433" t="s">
        <v>73</v>
      </c>
      <c r="J178" s="433" t="s">
        <v>1609</v>
      </c>
      <c r="K178" s="433" t="s">
        <v>1322</v>
      </c>
      <c r="L178" s="433" t="s">
        <v>1323</v>
      </c>
      <c r="M178" s="434">
        <v>44197</v>
      </c>
      <c r="N178" s="434">
        <v>44561</v>
      </c>
      <c r="O178" s="433">
        <f>+R178+U178+X178+AA178+AD178+AG178+AJ178+AM178+AP178+AS178+AV178+AY178</f>
        <v>16</v>
      </c>
      <c r="P178" s="433">
        <v>10</v>
      </c>
      <c r="Q178" s="433">
        <v>0</v>
      </c>
      <c r="R178" s="433">
        <v>0</v>
      </c>
      <c r="S178" s="433" t="s">
        <v>1530</v>
      </c>
      <c r="T178" s="433">
        <v>0</v>
      </c>
      <c r="U178" s="433">
        <v>8</v>
      </c>
      <c r="V178" s="433" t="s">
        <v>1642</v>
      </c>
      <c r="W178" s="433">
        <v>1</v>
      </c>
      <c r="X178" s="433">
        <v>0</v>
      </c>
      <c r="Y178" s="436" t="s">
        <v>1643</v>
      </c>
      <c r="Z178" s="433">
        <v>1</v>
      </c>
      <c r="AA178" s="433">
        <v>8</v>
      </c>
      <c r="AB178" s="436" t="s">
        <v>1644</v>
      </c>
      <c r="AC178" s="433">
        <v>0</v>
      </c>
      <c r="AD178" s="433">
        <v>0</v>
      </c>
      <c r="AE178" s="436" t="s">
        <v>1645</v>
      </c>
      <c r="AF178" s="433">
        <v>1</v>
      </c>
      <c r="AG178" s="498">
        <v>0</v>
      </c>
      <c r="AH178" s="499" t="s">
        <v>1646</v>
      </c>
      <c r="AI178" s="433">
        <v>1</v>
      </c>
      <c r="AJ178" s="433"/>
      <c r="AK178" s="433"/>
      <c r="AL178" s="433">
        <v>1</v>
      </c>
      <c r="AM178" s="433"/>
      <c r="AN178" s="433"/>
      <c r="AO178" s="433">
        <v>1</v>
      </c>
      <c r="AP178" s="433"/>
      <c r="AQ178" s="433"/>
      <c r="AR178" s="433">
        <v>1</v>
      </c>
      <c r="AS178" s="433"/>
      <c r="AT178" s="433"/>
      <c r="AU178" s="433">
        <v>1</v>
      </c>
      <c r="AV178" s="433"/>
      <c r="AW178" s="433"/>
      <c r="AX178" s="433">
        <v>1</v>
      </c>
      <c r="AY178" s="435"/>
      <c r="AZ178" s="435"/>
      <c r="BA178" s="435">
        <f t="shared" si="8"/>
        <v>3</v>
      </c>
      <c r="BB178" s="435">
        <f t="shared" si="9"/>
        <v>16</v>
      </c>
      <c r="BC178" s="500">
        <f>+IF(BA178=0,+IF(BB178=0,"No programación, No avance",+IF(BB178&gt;0,+IF(BA178=0,BB178/P178))),BB178/BA178)</f>
        <v>5.333333333333333</v>
      </c>
    </row>
    <row r="179" spans="1:56" s="2" customFormat="1" ht="63" customHeight="1">
      <c r="A179" s="701"/>
      <c r="B179" s="715"/>
      <c r="C179" s="706" t="s">
        <v>188</v>
      </c>
      <c r="D179" s="706" t="s">
        <v>1648</v>
      </c>
      <c r="E179" s="433" t="s">
        <v>1649</v>
      </c>
      <c r="F179" s="433" t="s">
        <v>472</v>
      </c>
      <c r="G179" s="433">
        <v>0.5</v>
      </c>
      <c r="H179" s="433" t="s">
        <v>179</v>
      </c>
      <c r="I179" s="433" t="s">
        <v>73</v>
      </c>
      <c r="J179" s="433" t="s">
        <v>1650</v>
      </c>
      <c r="K179" s="433" t="s">
        <v>1322</v>
      </c>
      <c r="L179" s="433" t="s">
        <v>1323</v>
      </c>
      <c r="M179" s="434">
        <v>44197</v>
      </c>
      <c r="N179" s="434">
        <v>44561</v>
      </c>
      <c r="O179" s="433">
        <f>+R179+U179+X179+AA179+AD179+AG179+AJ179+AM179+AP179+AS179+AV179+AY179</f>
        <v>0</v>
      </c>
      <c r="P179" s="433">
        <v>3</v>
      </c>
      <c r="Q179" s="433">
        <v>0</v>
      </c>
      <c r="R179" s="433">
        <v>0</v>
      </c>
      <c r="S179" s="433" t="s">
        <v>1651</v>
      </c>
      <c r="T179" s="433">
        <v>0</v>
      </c>
      <c r="U179" s="433">
        <v>0</v>
      </c>
      <c r="V179" s="433" t="s">
        <v>1652</v>
      </c>
      <c r="W179" s="433">
        <v>0</v>
      </c>
      <c r="X179" s="433">
        <v>0</v>
      </c>
      <c r="Y179" s="436" t="s">
        <v>1653</v>
      </c>
      <c r="Z179" s="433">
        <v>0</v>
      </c>
      <c r="AA179" s="433">
        <v>0</v>
      </c>
      <c r="AB179" s="436" t="s">
        <v>1654</v>
      </c>
      <c r="AC179" s="433">
        <v>3</v>
      </c>
      <c r="AD179" s="433">
        <v>0</v>
      </c>
      <c r="AE179" s="436" t="s">
        <v>1655</v>
      </c>
      <c r="AF179" s="433">
        <v>0</v>
      </c>
      <c r="AG179" s="498">
        <v>0</v>
      </c>
      <c r="AH179" s="513" t="s">
        <v>1656</v>
      </c>
      <c r="AI179" s="433">
        <v>0</v>
      </c>
      <c r="AJ179" s="433"/>
      <c r="AK179" s="433"/>
      <c r="AL179" s="433">
        <v>0</v>
      </c>
      <c r="AM179" s="433"/>
      <c r="AN179" s="433"/>
      <c r="AO179" s="433">
        <v>0</v>
      </c>
      <c r="AP179" s="433"/>
      <c r="AQ179" s="433"/>
      <c r="AR179" s="433">
        <v>0</v>
      </c>
      <c r="AS179" s="433"/>
      <c r="AT179" s="433"/>
      <c r="AU179" s="433">
        <v>0</v>
      </c>
      <c r="AV179" s="433"/>
      <c r="AW179" s="433"/>
      <c r="AX179" s="433">
        <v>0</v>
      </c>
      <c r="AY179" s="435"/>
      <c r="AZ179" s="435"/>
      <c r="BA179" s="435">
        <f t="shared" si="8"/>
        <v>3</v>
      </c>
      <c r="BB179" s="435">
        <f t="shared" si="9"/>
        <v>0</v>
      </c>
      <c r="BC179" s="500">
        <f>+IF(BA179=0,+IF(BB179=0,"No programación, No avance",+IF(BB179&gt;0,+IF(BA179=0,BB179/P179))),BB179/BA179)</f>
        <v>0</v>
      </c>
    </row>
    <row r="180" spans="1:56" s="2" customFormat="1" ht="52.5" customHeight="1">
      <c r="A180" s="701"/>
      <c r="B180" s="715"/>
      <c r="C180" s="706"/>
      <c r="D180" s="706"/>
      <c r="E180" s="433" t="s">
        <v>1658</v>
      </c>
      <c r="F180" s="433" t="s">
        <v>472</v>
      </c>
      <c r="G180" s="433">
        <v>0.2</v>
      </c>
      <c r="H180" s="433" t="s">
        <v>179</v>
      </c>
      <c r="I180" s="433" t="s">
        <v>73</v>
      </c>
      <c r="J180" s="433" t="s">
        <v>1659</v>
      </c>
      <c r="K180" s="433" t="s">
        <v>1322</v>
      </c>
      <c r="L180" s="433" t="s">
        <v>1323</v>
      </c>
      <c r="M180" s="434">
        <v>44197</v>
      </c>
      <c r="N180" s="434">
        <v>44561</v>
      </c>
      <c r="O180" s="433">
        <f>+R180+U180+X180+AA180+AD180+AG180+AJ180+AM180+AP180+AS180+AV180+AY180</f>
        <v>3</v>
      </c>
      <c r="P180" s="433">
        <v>10</v>
      </c>
      <c r="Q180" s="433">
        <v>0</v>
      </c>
      <c r="R180" s="433">
        <v>0</v>
      </c>
      <c r="S180" s="433" t="s">
        <v>1660</v>
      </c>
      <c r="T180" s="433">
        <v>0</v>
      </c>
      <c r="U180" s="433">
        <v>0</v>
      </c>
      <c r="V180" s="433" t="s">
        <v>1661</v>
      </c>
      <c r="W180" s="433">
        <v>1</v>
      </c>
      <c r="X180" s="433">
        <v>0</v>
      </c>
      <c r="Y180" s="436" t="s">
        <v>1662</v>
      </c>
      <c r="Z180" s="433">
        <v>1</v>
      </c>
      <c r="AA180" s="433">
        <v>2</v>
      </c>
      <c r="AB180" s="436" t="s">
        <v>1663</v>
      </c>
      <c r="AC180" s="433">
        <v>1</v>
      </c>
      <c r="AD180" s="433">
        <v>0</v>
      </c>
      <c r="AE180" s="436" t="s">
        <v>1664</v>
      </c>
      <c r="AF180" s="433">
        <v>1</v>
      </c>
      <c r="AG180" s="498">
        <v>1</v>
      </c>
      <c r="AH180" s="499" t="s">
        <v>1665</v>
      </c>
      <c r="AI180" s="433">
        <v>1</v>
      </c>
      <c r="AJ180" s="433"/>
      <c r="AK180" s="433"/>
      <c r="AL180" s="433">
        <v>1</v>
      </c>
      <c r="AM180" s="433"/>
      <c r="AN180" s="433"/>
      <c r="AO180" s="433">
        <v>1</v>
      </c>
      <c r="AP180" s="433"/>
      <c r="AQ180" s="433"/>
      <c r="AR180" s="433">
        <v>1</v>
      </c>
      <c r="AS180" s="433"/>
      <c r="AT180" s="433"/>
      <c r="AU180" s="433">
        <v>1</v>
      </c>
      <c r="AV180" s="433"/>
      <c r="AW180" s="433"/>
      <c r="AX180" s="433">
        <v>1</v>
      </c>
      <c r="AY180" s="435"/>
      <c r="AZ180" s="435"/>
      <c r="BA180" s="435">
        <f t="shared" si="8"/>
        <v>4</v>
      </c>
      <c r="BB180" s="435">
        <f t="shared" si="9"/>
        <v>3</v>
      </c>
      <c r="BC180" s="500">
        <f>+IF(BA180=0,+IF(BB180=0,"No programación, No avance",+IF(BB180&gt;0,+IF(BA180=0,BB180/P180))),BB180/BA180)</f>
        <v>0.75</v>
      </c>
    </row>
    <row r="181" spans="1:56" s="2" customFormat="1" ht="52.5" customHeight="1">
      <c r="A181" s="701"/>
      <c r="B181" s="715"/>
      <c r="C181" s="706"/>
      <c r="D181" s="706"/>
      <c r="E181" s="433" t="s">
        <v>1667</v>
      </c>
      <c r="F181" s="433" t="s">
        <v>472</v>
      </c>
      <c r="G181" s="433">
        <v>0.3</v>
      </c>
      <c r="H181" s="433" t="s">
        <v>179</v>
      </c>
      <c r="I181" s="433" t="s">
        <v>73</v>
      </c>
      <c r="J181" s="433" t="s">
        <v>1027</v>
      </c>
      <c r="K181" s="433" t="s">
        <v>1322</v>
      </c>
      <c r="L181" s="433" t="s">
        <v>1323</v>
      </c>
      <c r="M181" s="434">
        <v>44197</v>
      </c>
      <c r="N181" s="434">
        <v>44561</v>
      </c>
      <c r="O181" s="433">
        <f>+R181+U181+X181+AA181+AD181+AG181+AJ181+AM181+AP181+AS181+AV181+AY181</f>
        <v>1</v>
      </c>
      <c r="P181" s="433">
        <v>6</v>
      </c>
      <c r="Q181" s="433">
        <v>0</v>
      </c>
      <c r="R181" s="433">
        <v>0</v>
      </c>
      <c r="S181" s="433" t="s">
        <v>1668</v>
      </c>
      <c r="T181" s="433">
        <v>0</v>
      </c>
      <c r="U181" s="433">
        <v>0</v>
      </c>
      <c r="V181" s="433" t="s">
        <v>1668</v>
      </c>
      <c r="W181" s="433">
        <v>0</v>
      </c>
      <c r="X181" s="433">
        <v>0</v>
      </c>
      <c r="Y181" s="436" t="s">
        <v>1669</v>
      </c>
      <c r="Z181" s="433">
        <v>0</v>
      </c>
      <c r="AA181" s="433">
        <v>0</v>
      </c>
      <c r="AB181" s="436" t="s">
        <v>1670</v>
      </c>
      <c r="AC181" s="433">
        <v>1</v>
      </c>
      <c r="AD181" s="433">
        <v>1</v>
      </c>
      <c r="AE181" s="436" t="s">
        <v>1671</v>
      </c>
      <c r="AF181" s="433">
        <v>0</v>
      </c>
      <c r="AG181" s="498">
        <v>0</v>
      </c>
      <c r="AH181" s="499" t="s">
        <v>1672</v>
      </c>
      <c r="AI181" s="433">
        <v>1</v>
      </c>
      <c r="AJ181" s="433"/>
      <c r="AK181" s="433"/>
      <c r="AL181" s="433">
        <v>1</v>
      </c>
      <c r="AM181" s="433"/>
      <c r="AN181" s="433"/>
      <c r="AO181" s="433">
        <v>1</v>
      </c>
      <c r="AP181" s="433"/>
      <c r="AQ181" s="433"/>
      <c r="AR181" s="433">
        <v>1</v>
      </c>
      <c r="AS181" s="433"/>
      <c r="AT181" s="433"/>
      <c r="AU181" s="433">
        <v>1</v>
      </c>
      <c r="AV181" s="433"/>
      <c r="AW181" s="433"/>
      <c r="AX181" s="433">
        <v>0</v>
      </c>
      <c r="AY181" s="435"/>
      <c r="AZ181" s="435"/>
      <c r="BA181" s="435">
        <f t="shared" si="8"/>
        <v>1</v>
      </c>
      <c r="BB181" s="435">
        <f t="shared" si="9"/>
        <v>1</v>
      </c>
      <c r="BC181" s="500">
        <f>+IF(BA181=0,+IF(BB181=0,"No programación, No avance",+IF(BB181&gt;0,+IF(BA181=0,BB181/P181))),BB181/BA181)</f>
        <v>1</v>
      </c>
    </row>
    <row r="182" spans="1:56" s="2" customFormat="1" ht="47.25" customHeight="1">
      <c r="A182" s="701"/>
      <c r="B182" s="715"/>
      <c r="C182" s="433" t="s">
        <v>186</v>
      </c>
      <c r="D182" s="433" t="s">
        <v>186</v>
      </c>
      <c r="E182" s="433" t="s">
        <v>1674</v>
      </c>
      <c r="F182" s="433" t="s">
        <v>690</v>
      </c>
      <c r="G182" s="433">
        <v>1</v>
      </c>
      <c r="H182" s="433" t="s">
        <v>179</v>
      </c>
      <c r="I182" s="433" t="s">
        <v>73</v>
      </c>
      <c r="J182" s="433" t="s">
        <v>1027</v>
      </c>
      <c r="K182" s="433" t="s">
        <v>1322</v>
      </c>
      <c r="L182" s="433" t="s">
        <v>1323</v>
      </c>
      <c r="M182" s="434">
        <v>44197</v>
      </c>
      <c r="N182" s="434">
        <v>44561</v>
      </c>
      <c r="O182" s="433">
        <f>+R182+U182+X182+AA182+AD182+AG182+AJ182+AM182+AP182+AS182+AV182+AY182</f>
        <v>0</v>
      </c>
      <c r="P182" s="433">
        <v>41000</v>
      </c>
      <c r="Q182" s="433">
        <v>0</v>
      </c>
      <c r="R182" s="433">
        <v>0</v>
      </c>
      <c r="S182" s="433"/>
      <c r="T182" s="433">
        <v>0</v>
      </c>
      <c r="U182" s="433">
        <v>0</v>
      </c>
      <c r="V182" s="433"/>
      <c r="W182" s="433">
        <v>0</v>
      </c>
      <c r="X182" s="433">
        <v>0</v>
      </c>
      <c r="Y182" s="436"/>
      <c r="Z182" s="433">
        <v>0</v>
      </c>
      <c r="AA182" s="433">
        <v>0</v>
      </c>
      <c r="AB182" s="436" t="s">
        <v>1675</v>
      </c>
      <c r="AC182" s="433">
        <v>0</v>
      </c>
      <c r="AD182" s="433">
        <v>0</v>
      </c>
      <c r="AE182" s="436" t="s">
        <v>1676</v>
      </c>
      <c r="AF182" s="433">
        <v>0</v>
      </c>
      <c r="AG182" s="498">
        <v>0</v>
      </c>
      <c r="AH182" s="499" t="s">
        <v>1677</v>
      </c>
      <c r="AI182" s="433">
        <v>0</v>
      </c>
      <c r="AJ182" s="433"/>
      <c r="AK182" s="433"/>
      <c r="AL182" s="433">
        <v>0</v>
      </c>
      <c r="AM182" s="433"/>
      <c r="AN182" s="433"/>
      <c r="AO182" s="433">
        <v>0</v>
      </c>
      <c r="AP182" s="433"/>
      <c r="AQ182" s="433"/>
      <c r="AR182" s="433">
        <v>0</v>
      </c>
      <c r="AS182" s="433"/>
      <c r="AT182" s="433"/>
      <c r="AU182" s="433">
        <v>0</v>
      </c>
      <c r="AV182" s="433"/>
      <c r="AW182" s="433"/>
      <c r="AX182" s="433">
        <v>41000</v>
      </c>
      <c r="AY182" s="435"/>
      <c r="AZ182" s="435"/>
      <c r="BA182" s="435">
        <f t="shared" si="8"/>
        <v>0</v>
      </c>
      <c r="BB182" s="435">
        <f t="shared" si="9"/>
        <v>0</v>
      </c>
      <c r="BC182" s="500" t="str">
        <f>+IF(BA182=0,+IF(BB182=0,"No programación, No avance",+IF(BB182&gt;0,+IF(BA182=0,BB182/P182))),BB182/BA182)</f>
        <v>No programación, No avance</v>
      </c>
      <c r="BD182" s="47"/>
    </row>
    <row r="183" spans="1:56" s="2" customFormat="1" ht="47.25" customHeight="1">
      <c r="A183" s="701"/>
      <c r="B183" s="715"/>
      <c r="C183" s="433" t="s">
        <v>1458</v>
      </c>
      <c r="D183" s="433" t="s">
        <v>1679</v>
      </c>
      <c r="E183" s="433" t="s">
        <v>1680</v>
      </c>
      <c r="F183" s="433" t="s">
        <v>690</v>
      </c>
      <c r="G183" s="433">
        <v>1</v>
      </c>
      <c r="H183" s="433" t="s">
        <v>179</v>
      </c>
      <c r="I183" s="433" t="s">
        <v>73</v>
      </c>
      <c r="J183" s="433" t="s">
        <v>1027</v>
      </c>
      <c r="K183" s="433" t="s">
        <v>1322</v>
      </c>
      <c r="L183" s="433" t="s">
        <v>1323</v>
      </c>
      <c r="M183" s="434">
        <v>44197</v>
      </c>
      <c r="N183" s="434">
        <v>44561</v>
      </c>
      <c r="O183" s="433">
        <f>+R183+U183+X183+AA183+AD183+AG183+AJ183+AM183+AP183+AS183+AV183+AY183</f>
        <v>0</v>
      </c>
      <c r="P183" s="433">
        <v>90</v>
      </c>
      <c r="Q183" s="433">
        <v>0</v>
      </c>
      <c r="R183" s="433">
        <v>0</v>
      </c>
      <c r="S183" s="433"/>
      <c r="T183" s="433">
        <v>0</v>
      </c>
      <c r="U183" s="433">
        <v>0</v>
      </c>
      <c r="V183" s="433"/>
      <c r="W183" s="433">
        <v>0</v>
      </c>
      <c r="X183" s="433">
        <v>0</v>
      </c>
      <c r="Y183" s="436"/>
      <c r="Z183" s="433">
        <v>0</v>
      </c>
      <c r="AA183" s="433">
        <v>0</v>
      </c>
      <c r="AB183" s="436" t="s">
        <v>1681</v>
      </c>
      <c r="AC183" s="433">
        <v>0</v>
      </c>
      <c r="AD183" s="433">
        <v>0</v>
      </c>
      <c r="AE183" s="436" t="s">
        <v>1682</v>
      </c>
      <c r="AF183" s="433">
        <v>0</v>
      </c>
      <c r="AG183" s="498">
        <v>0</v>
      </c>
      <c r="AH183" s="519" t="s">
        <v>1683</v>
      </c>
      <c r="AI183" s="433">
        <v>0</v>
      </c>
      <c r="AJ183" s="433"/>
      <c r="AK183" s="433"/>
      <c r="AL183" s="433">
        <v>0</v>
      </c>
      <c r="AM183" s="433"/>
      <c r="AN183" s="433"/>
      <c r="AO183" s="433">
        <v>0</v>
      </c>
      <c r="AP183" s="433"/>
      <c r="AQ183" s="433"/>
      <c r="AR183" s="433">
        <v>0</v>
      </c>
      <c r="AS183" s="433"/>
      <c r="AT183" s="433"/>
      <c r="AU183" s="433">
        <v>0</v>
      </c>
      <c r="AV183" s="433"/>
      <c r="AW183" s="433"/>
      <c r="AX183" s="433">
        <v>90</v>
      </c>
      <c r="AY183" s="435"/>
      <c r="AZ183" s="435"/>
      <c r="BA183" s="435">
        <f t="shared" si="8"/>
        <v>0</v>
      </c>
      <c r="BB183" s="435">
        <f t="shared" si="9"/>
        <v>0</v>
      </c>
      <c r="BC183" s="500" t="str">
        <f>+IF(BA183=0,+IF(BB183=0,"No programación, No avance",+IF(BB183&gt;0,+IF(BA183=0,BB183/P183))),BB183/BA183)</f>
        <v>No programación, No avance</v>
      </c>
      <c r="BD183" s="47"/>
    </row>
    <row r="184" spans="1:56" s="2" customFormat="1" ht="47.25" customHeight="1" thickBot="1">
      <c r="A184" s="702"/>
      <c r="B184" s="716"/>
      <c r="C184" s="440" t="s">
        <v>178</v>
      </c>
      <c r="D184" s="440" t="s">
        <v>1685</v>
      </c>
      <c r="E184" s="440" t="s">
        <v>1686</v>
      </c>
      <c r="F184" s="440" t="s">
        <v>690</v>
      </c>
      <c r="G184" s="440">
        <v>1</v>
      </c>
      <c r="H184" s="440" t="s">
        <v>179</v>
      </c>
      <c r="I184" s="440" t="s">
        <v>217</v>
      </c>
      <c r="J184" s="440" t="s">
        <v>1027</v>
      </c>
      <c r="K184" s="440" t="s">
        <v>1322</v>
      </c>
      <c r="L184" s="440" t="s">
        <v>1323</v>
      </c>
      <c r="M184" s="441">
        <v>44197</v>
      </c>
      <c r="N184" s="441">
        <v>44561</v>
      </c>
      <c r="O184" s="440">
        <f>+R184+U184+X184+AA184+AD184+AG184+AJ184+AM184+AP184+AS184+AV184+AY184</f>
        <v>0</v>
      </c>
      <c r="P184" s="440">
        <v>1500</v>
      </c>
      <c r="Q184" s="440">
        <v>0</v>
      </c>
      <c r="R184" s="440">
        <v>0</v>
      </c>
      <c r="S184" s="440"/>
      <c r="T184" s="440">
        <v>0</v>
      </c>
      <c r="U184" s="440">
        <v>0</v>
      </c>
      <c r="V184" s="440"/>
      <c r="W184" s="440">
        <v>0</v>
      </c>
      <c r="X184" s="440">
        <v>0</v>
      </c>
      <c r="Y184" s="444"/>
      <c r="Z184" s="440">
        <v>0</v>
      </c>
      <c r="AA184" s="440">
        <v>0</v>
      </c>
      <c r="AB184" s="444" t="s">
        <v>1687</v>
      </c>
      <c r="AC184" s="440">
        <v>0</v>
      </c>
      <c r="AD184" s="440">
        <v>0</v>
      </c>
      <c r="AE184" s="444" t="s">
        <v>1688</v>
      </c>
      <c r="AF184" s="440">
        <v>0</v>
      </c>
      <c r="AG184" s="498">
        <v>0</v>
      </c>
      <c r="AH184" s="520" t="s">
        <v>1689</v>
      </c>
      <c r="AI184" s="440">
        <v>0</v>
      </c>
      <c r="AJ184" s="440"/>
      <c r="AK184" s="440"/>
      <c r="AL184" s="440">
        <v>0</v>
      </c>
      <c r="AM184" s="440"/>
      <c r="AN184" s="440"/>
      <c r="AO184" s="440">
        <v>0</v>
      </c>
      <c r="AP184" s="440"/>
      <c r="AQ184" s="440"/>
      <c r="AR184" s="440">
        <v>0</v>
      </c>
      <c r="AS184" s="440"/>
      <c r="AT184" s="440"/>
      <c r="AU184" s="440">
        <v>0</v>
      </c>
      <c r="AV184" s="440"/>
      <c r="AW184" s="440"/>
      <c r="AX184" s="440">
        <v>1500</v>
      </c>
      <c r="AY184" s="442"/>
      <c r="AZ184" s="442"/>
      <c r="BA184" s="435">
        <f t="shared" si="8"/>
        <v>0</v>
      </c>
      <c r="BB184" s="435">
        <f t="shared" si="9"/>
        <v>0</v>
      </c>
      <c r="BC184" s="507" t="str">
        <f>+IF(BA184=0,+IF(BB184=0,"No programación, No avance",+IF(BB184&gt;0,+IF(BA184=0,BB184/P184))),BB184/BA184)</f>
        <v>No programación, No avance</v>
      </c>
      <c r="BD184" s="47"/>
    </row>
    <row r="185" spans="1:56" s="2" customFormat="1" ht="62.25" customHeight="1">
      <c r="A185" s="717" t="s">
        <v>1691</v>
      </c>
      <c r="B185" s="749">
        <v>65.8</v>
      </c>
      <c r="C185" s="710" t="s">
        <v>190</v>
      </c>
      <c r="D185" s="710" t="s">
        <v>1692</v>
      </c>
      <c r="E185" s="447" t="s">
        <v>1693</v>
      </c>
      <c r="F185" s="447" t="s">
        <v>1694</v>
      </c>
      <c r="G185" s="447">
        <v>0.5</v>
      </c>
      <c r="H185" s="447" t="s">
        <v>426</v>
      </c>
      <c r="I185" s="447" t="s">
        <v>73</v>
      </c>
      <c r="J185" s="447" t="s">
        <v>1695</v>
      </c>
      <c r="K185" s="447" t="s">
        <v>127</v>
      </c>
      <c r="L185" s="447" t="s">
        <v>1696</v>
      </c>
      <c r="M185" s="448">
        <v>44197</v>
      </c>
      <c r="N185" s="448">
        <v>44561</v>
      </c>
      <c r="O185" s="447">
        <f>+R185+U185+X185+AA185+AD185+AG185+AJ185+AM185+AP185+AS185+AV185+AY185</f>
        <v>1</v>
      </c>
      <c r="P185" s="447">
        <v>1</v>
      </c>
      <c r="Q185" s="447">
        <v>0</v>
      </c>
      <c r="R185" s="447">
        <v>0</v>
      </c>
      <c r="S185" s="521" t="s">
        <v>191</v>
      </c>
      <c r="T185" s="447">
        <v>0</v>
      </c>
      <c r="U185" s="447">
        <v>0</v>
      </c>
      <c r="V185" s="521" t="s">
        <v>192</v>
      </c>
      <c r="W185" s="447">
        <v>0</v>
      </c>
      <c r="X185" s="447">
        <v>0</v>
      </c>
      <c r="Y185" s="447" t="s">
        <v>1697</v>
      </c>
      <c r="Z185" s="447">
        <v>0</v>
      </c>
      <c r="AA185" s="447">
        <v>0</v>
      </c>
      <c r="AB185" s="451" t="s">
        <v>1698</v>
      </c>
      <c r="AC185" s="447">
        <v>1</v>
      </c>
      <c r="AD185" s="447">
        <v>1</v>
      </c>
      <c r="AE185" s="451" t="s">
        <v>1699</v>
      </c>
      <c r="AF185" s="447">
        <v>0</v>
      </c>
      <c r="AG185" s="455">
        <v>0</v>
      </c>
      <c r="AH185" s="522" t="s">
        <v>1700</v>
      </c>
      <c r="AI185" s="447">
        <v>0</v>
      </c>
      <c r="AJ185" s="447"/>
      <c r="AK185" s="447"/>
      <c r="AL185" s="447">
        <v>0</v>
      </c>
      <c r="AM185" s="447"/>
      <c r="AN185" s="447"/>
      <c r="AO185" s="447">
        <v>0</v>
      </c>
      <c r="AP185" s="447"/>
      <c r="AQ185" s="447"/>
      <c r="AR185" s="447">
        <v>0</v>
      </c>
      <c r="AS185" s="447"/>
      <c r="AT185" s="447"/>
      <c r="AU185" s="447">
        <v>0</v>
      </c>
      <c r="AV185" s="447"/>
      <c r="AW185" s="447"/>
      <c r="AX185" s="447">
        <v>0</v>
      </c>
      <c r="AY185" s="449"/>
      <c r="AZ185" s="449"/>
      <c r="BA185" s="453">
        <f t="shared" si="8"/>
        <v>1</v>
      </c>
      <c r="BB185" s="453">
        <f t="shared" si="9"/>
        <v>1</v>
      </c>
      <c r="BC185" s="454">
        <f>+IF(BA185=0,+IF(BB185=0,"No programación, No avance",+IF(BB185&gt;0,+IF(BA185=0,BB185/P185))),BB185/BA185)</f>
        <v>1</v>
      </c>
      <c r="BD185" s="2">
        <f>+AVERAGE(BC185:BC202)</f>
        <v>1.7772539389607469</v>
      </c>
    </row>
    <row r="186" spans="1:56" s="2" customFormat="1" ht="96.75" customHeight="1">
      <c r="A186" s="718"/>
      <c r="B186" s="750"/>
      <c r="C186" s="685"/>
      <c r="D186" s="685"/>
      <c r="E186" s="455" t="s">
        <v>1702</v>
      </c>
      <c r="F186" s="455" t="s">
        <v>1694</v>
      </c>
      <c r="G186" s="455">
        <v>0.3</v>
      </c>
      <c r="H186" s="455" t="s">
        <v>426</v>
      </c>
      <c r="I186" s="455" t="s">
        <v>73</v>
      </c>
      <c r="J186" s="455" t="s">
        <v>1695</v>
      </c>
      <c r="K186" s="455" t="s">
        <v>127</v>
      </c>
      <c r="L186" s="455" t="s">
        <v>1696</v>
      </c>
      <c r="M186" s="456">
        <v>44197</v>
      </c>
      <c r="N186" s="456">
        <v>44561</v>
      </c>
      <c r="O186" s="455">
        <f>+R186+U186+X186+AA186+AD186+AG186+AJ186+AM186+AP186+AS186+AV186+AY186</f>
        <v>0</v>
      </c>
      <c r="P186" s="455">
        <v>1</v>
      </c>
      <c r="Q186" s="455">
        <v>0</v>
      </c>
      <c r="R186" s="455">
        <v>0</v>
      </c>
      <c r="S186" s="461" t="s">
        <v>191</v>
      </c>
      <c r="T186" s="455">
        <v>0</v>
      </c>
      <c r="U186" s="455">
        <v>0</v>
      </c>
      <c r="V186" s="461" t="s">
        <v>192</v>
      </c>
      <c r="W186" s="455">
        <v>0</v>
      </c>
      <c r="X186" s="455">
        <v>0</v>
      </c>
      <c r="Y186" s="455" t="s">
        <v>1697</v>
      </c>
      <c r="Z186" s="455">
        <v>0</v>
      </c>
      <c r="AA186" s="455">
        <v>0</v>
      </c>
      <c r="AB186" s="457" t="s">
        <v>1703</v>
      </c>
      <c r="AC186" s="455">
        <v>0</v>
      </c>
      <c r="AD186" s="455">
        <v>0</v>
      </c>
      <c r="AE186" s="457" t="s">
        <v>1699</v>
      </c>
      <c r="AF186" s="455">
        <v>0</v>
      </c>
      <c r="AG186" s="458">
        <v>0</v>
      </c>
      <c r="AH186" s="523" t="s">
        <v>1700</v>
      </c>
      <c r="AI186" s="455">
        <v>1</v>
      </c>
      <c r="AJ186" s="455"/>
      <c r="AK186" s="455"/>
      <c r="AL186" s="455">
        <v>0</v>
      </c>
      <c r="AM186" s="455"/>
      <c r="AN186" s="455"/>
      <c r="AO186" s="455">
        <v>0</v>
      </c>
      <c r="AP186" s="455"/>
      <c r="AQ186" s="455"/>
      <c r="AR186" s="455">
        <v>0</v>
      </c>
      <c r="AS186" s="455"/>
      <c r="AT186" s="455"/>
      <c r="AU186" s="455">
        <v>0</v>
      </c>
      <c r="AV186" s="455"/>
      <c r="AW186" s="455"/>
      <c r="AX186" s="455">
        <v>0</v>
      </c>
      <c r="AY186" s="453"/>
      <c r="AZ186" s="453"/>
      <c r="BA186" s="453">
        <f t="shared" si="8"/>
        <v>0</v>
      </c>
      <c r="BB186" s="453">
        <f t="shared" si="9"/>
        <v>0</v>
      </c>
      <c r="BC186" s="459" t="str">
        <f>+IF(BA186=0,+IF(BB186=0,"No programación, No avance",+IF(BB186&gt;0,+IF(BA186=0,BB186/P186))),BB186/BA186)</f>
        <v>No programación, No avance</v>
      </c>
    </row>
    <row r="187" spans="1:56" s="2" customFormat="1" ht="96.75" customHeight="1">
      <c r="A187" s="718"/>
      <c r="B187" s="750"/>
      <c r="C187" s="685"/>
      <c r="D187" s="685"/>
      <c r="E187" s="455" t="s">
        <v>1705</v>
      </c>
      <c r="F187" s="455" t="s">
        <v>1694</v>
      </c>
      <c r="G187" s="455">
        <v>0.2</v>
      </c>
      <c r="H187" s="455" t="s">
        <v>426</v>
      </c>
      <c r="I187" s="455" t="s">
        <v>73</v>
      </c>
      <c r="J187" s="455" t="s">
        <v>1695</v>
      </c>
      <c r="K187" s="455" t="s">
        <v>127</v>
      </c>
      <c r="L187" s="455" t="s">
        <v>1696</v>
      </c>
      <c r="M187" s="456">
        <v>44197</v>
      </c>
      <c r="N187" s="456">
        <v>44561</v>
      </c>
      <c r="O187" s="455">
        <f>+R187+U187+X187+AA187+AD187+AG187+AJ187+AM187+AP187+AS187+AV187+AY187</f>
        <v>0</v>
      </c>
      <c r="P187" s="455">
        <v>1</v>
      </c>
      <c r="Q187" s="455">
        <v>0</v>
      </c>
      <c r="R187" s="455">
        <v>0</v>
      </c>
      <c r="S187" s="461" t="s">
        <v>191</v>
      </c>
      <c r="T187" s="455">
        <v>0</v>
      </c>
      <c r="U187" s="455">
        <v>0</v>
      </c>
      <c r="V187" s="461" t="s">
        <v>192</v>
      </c>
      <c r="W187" s="455">
        <v>0</v>
      </c>
      <c r="X187" s="455">
        <v>0</v>
      </c>
      <c r="Y187" s="455" t="s">
        <v>1697</v>
      </c>
      <c r="Z187" s="455">
        <v>0</v>
      </c>
      <c r="AA187" s="455">
        <v>0</v>
      </c>
      <c r="AB187" s="457" t="s">
        <v>1706</v>
      </c>
      <c r="AC187" s="455">
        <v>0</v>
      </c>
      <c r="AD187" s="455">
        <v>0</v>
      </c>
      <c r="AE187" s="457" t="s">
        <v>1707</v>
      </c>
      <c r="AF187" s="455">
        <v>0</v>
      </c>
      <c r="AG187" s="458">
        <v>0</v>
      </c>
      <c r="AH187" s="523" t="s">
        <v>1707</v>
      </c>
      <c r="AI187" s="455">
        <v>1</v>
      </c>
      <c r="AJ187" s="455"/>
      <c r="AK187" s="455"/>
      <c r="AL187" s="455">
        <v>0</v>
      </c>
      <c r="AM187" s="455"/>
      <c r="AN187" s="455"/>
      <c r="AO187" s="455">
        <v>0</v>
      </c>
      <c r="AP187" s="455"/>
      <c r="AQ187" s="455"/>
      <c r="AR187" s="455">
        <v>0</v>
      </c>
      <c r="AS187" s="455"/>
      <c r="AT187" s="455"/>
      <c r="AU187" s="455">
        <v>0</v>
      </c>
      <c r="AV187" s="455"/>
      <c r="AW187" s="455"/>
      <c r="AX187" s="455">
        <v>0</v>
      </c>
      <c r="AY187" s="453"/>
      <c r="AZ187" s="453"/>
      <c r="BA187" s="453">
        <f t="shared" si="8"/>
        <v>0</v>
      </c>
      <c r="BB187" s="453">
        <f t="shared" si="9"/>
        <v>0</v>
      </c>
      <c r="BC187" s="459" t="str">
        <f>+IF(BA187=0,+IF(BB187=0,"No programación, No avance",+IF(BB187&gt;0,+IF(BA187=0,BB187/P187))),BB187/BA187)</f>
        <v>No programación, No avance</v>
      </c>
    </row>
    <row r="188" spans="1:56" s="2" customFormat="1" ht="96.75" customHeight="1">
      <c r="A188" s="718"/>
      <c r="B188" s="750"/>
      <c r="C188" s="685" t="s">
        <v>194</v>
      </c>
      <c r="D188" s="685" t="s">
        <v>1709</v>
      </c>
      <c r="E188" s="455" t="s">
        <v>1710</v>
      </c>
      <c r="F188" s="455" t="s">
        <v>472</v>
      </c>
      <c r="G188" s="455">
        <v>0.3</v>
      </c>
      <c r="H188" s="455" t="s">
        <v>426</v>
      </c>
      <c r="I188" s="455" t="s">
        <v>73</v>
      </c>
      <c r="J188" s="455" t="s">
        <v>1695</v>
      </c>
      <c r="K188" s="455" t="s">
        <v>127</v>
      </c>
      <c r="L188" s="455" t="s">
        <v>426</v>
      </c>
      <c r="M188" s="456">
        <v>44197</v>
      </c>
      <c r="N188" s="456">
        <v>44561</v>
      </c>
      <c r="O188" s="455">
        <f>+R188+U188+X188+AA188+AD188+AG188+AJ188+AM188+AP188+AS188+AV188+AY188</f>
        <v>1</v>
      </c>
      <c r="P188" s="455">
        <v>1</v>
      </c>
      <c r="Q188" s="455">
        <v>1</v>
      </c>
      <c r="R188" s="455">
        <v>0</v>
      </c>
      <c r="S188" s="461" t="s">
        <v>195</v>
      </c>
      <c r="T188" s="455">
        <v>0</v>
      </c>
      <c r="U188" s="455">
        <v>0</v>
      </c>
      <c r="V188" s="461" t="s">
        <v>1711</v>
      </c>
      <c r="W188" s="455">
        <v>0</v>
      </c>
      <c r="X188" s="455">
        <v>0</v>
      </c>
      <c r="Y188" s="455" t="s">
        <v>1712</v>
      </c>
      <c r="Z188" s="455">
        <v>0</v>
      </c>
      <c r="AA188" s="455">
        <v>1</v>
      </c>
      <c r="AB188" s="457" t="s">
        <v>1713</v>
      </c>
      <c r="AC188" s="455">
        <v>0</v>
      </c>
      <c r="AD188" s="455">
        <v>0</v>
      </c>
      <c r="AE188" s="457" t="s">
        <v>1714</v>
      </c>
      <c r="AF188" s="455">
        <v>0</v>
      </c>
      <c r="AG188" s="458">
        <v>0</v>
      </c>
      <c r="AH188" s="523" t="s">
        <v>1715</v>
      </c>
      <c r="AI188" s="455">
        <v>0</v>
      </c>
      <c r="AJ188" s="455"/>
      <c r="AK188" s="455"/>
      <c r="AL188" s="455">
        <v>0</v>
      </c>
      <c r="AM188" s="455"/>
      <c r="AN188" s="455"/>
      <c r="AO188" s="455">
        <v>0</v>
      </c>
      <c r="AP188" s="455"/>
      <c r="AQ188" s="455"/>
      <c r="AR188" s="455">
        <v>0</v>
      </c>
      <c r="AS188" s="455"/>
      <c r="AT188" s="455"/>
      <c r="AU188" s="455">
        <v>0</v>
      </c>
      <c r="AV188" s="455"/>
      <c r="AW188" s="455"/>
      <c r="AX188" s="455">
        <v>0</v>
      </c>
      <c r="AY188" s="453"/>
      <c r="AZ188" s="453"/>
      <c r="BA188" s="453">
        <f t="shared" si="8"/>
        <v>1</v>
      </c>
      <c r="BB188" s="453">
        <f t="shared" si="9"/>
        <v>1</v>
      </c>
      <c r="BC188" s="459">
        <f>+IF(BA188=0,+IF(BB188=0,"No programación, No avance",+IF(BB188&gt;0,+IF(BA188=0,BB188/P188))),BB188/BA188)</f>
        <v>1</v>
      </c>
    </row>
    <row r="189" spans="1:56" s="2" customFormat="1" ht="96.75" customHeight="1">
      <c r="A189" s="718"/>
      <c r="B189" s="750"/>
      <c r="C189" s="685"/>
      <c r="D189" s="685"/>
      <c r="E189" s="455" t="s">
        <v>1717</v>
      </c>
      <c r="F189" s="455" t="s">
        <v>472</v>
      </c>
      <c r="G189" s="455">
        <v>0.4</v>
      </c>
      <c r="H189" s="455" t="s">
        <v>426</v>
      </c>
      <c r="I189" s="455" t="s">
        <v>73</v>
      </c>
      <c r="J189" s="455" t="s">
        <v>1695</v>
      </c>
      <c r="K189" s="455" t="s">
        <v>127</v>
      </c>
      <c r="L189" s="455" t="s">
        <v>426</v>
      </c>
      <c r="M189" s="456">
        <v>44197</v>
      </c>
      <c r="N189" s="456">
        <v>44561</v>
      </c>
      <c r="O189" s="455">
        <f>+R189+U189+X189+AA189+AD189+AG189+AJ189+AM189+AP189+AS189+AV189+AY189</f>
        <v>1</v>
      </c>
      <c r="P189" s="455">
        <v>1</v>
      </c>
      <c r="Q189" s="455">
        <v>0</v>
      </c>
      <c r="R189" s="455">
        <v>0</v>
      </c>
      <c r="S189" s="461" t="s">
        <v>195</v>
      </c>
      <c r="T189" s="455">
        <v>1</v>
      </c>
      <c r="U189" s="455">
        <v>0</v>
      </c>
      <c r="V189" s="461" t="s">
        <v>1711</v>
      </c>
      <c r="W189" s="455">
        <v>0</v>
      </c>
      <c r="X189" s="455">
        <v>0</v>
      </c>
      <c r="Y189" s="455" t="s">
        <v>1712</v>
      </c>
      <c r="Z189" s="455">
        <v>0</v>
      </c>
      <c r="AA189" s="455">
        <v>1</v>
      </c>
      <c r="AB189" s="457" t="s">
        <v>1713</v>
      </c>
      <c r="AC189" s="455">
        <v>0</v>
      </c>
      <c r="AD189" s="455">
        <v>0</v>
      </c>
      <c r="AE189" s="457" t="s">
        <v>1714</v>
      </c>
      <c r="AF189" s="455">
        <v>0</v>
      </c>
      <c r="AG189" s="458">
        <v>0</v>
      </c>
      <c r="AH189" s="523" t="s">
        <v>1715</v>
      </c>
      <c r="AI189" s="455">
        <v>0</v>
      </c>
      <c r="AJ189" s="455"/>
      <c r="AK189" s="455"/>
      <c r="AL189" s="455">
        <v>0</v>
      </c>
      <c r="AM189" s="455"/>
      <c r="AN189" s="455"/>
      <c r="AO189" s="455">
        <v>0</v>
      </c>
      <c r="AP189" s="455"/>
      <c r="AQ189" s="455"/>
      <c r="AR189" s="455">
        <v>0</v>
      </c>
      <c r="AS189" s="455"/>
      <c r="AT189" s="455"/>
      <c r="AU189" s="455">
        <v>0</v>
      </c>
      <c r="AV189" s="455"/>
      <c r="AW189" s="455"/>
      <c r="AX189" s="455">
        <v>0</v>
      </c>
      <c r="AY189" s="453"/>
      <c r="AZ189" s="453"/>
      <c r="BA189" s="453">
        <f t="shared" si="8"/>
        <v>1</v>
      </c>
      <c r="BB189" s="453">
        <f t="shared" si="9"/>
        <v>1</v>
      </c>
      <c r="BC189" s="459">
        <f>+IF(BA189=0,+IF(BB189=0,"No programación, No avance",+IF(BB189&gt;0,+IF(BA189=0,BB189/P189))),BB189/BA189)</f>
        <v>1</v>
      </c>
    </row>
    <row r="190" spans="1:56" s="2" customFormat="1" ht="96.75" customHeight="1">
      <c r="A190" s="718"/>
      <c r="B190" s="750"/>
      <c r="C190" s="685"/>
      <c r="D190" s="685"/>
      <c r="E190" s="455" t="s">
        <v>1719</v>
      </c>
      <c r="F190" s="455" t="s">
        <v>472</v>
      </c>
      <c r="G190" s="455">
        <v>0.1</v>
      </c>
      <c r="H190" s="455" t="s">
        <v>426</v>
      </c>
      <c r="I190" s="455" t="s">
        <v>73</v>
      </c>
      <c r="J190" s="455" t="s">
        <v>1695</v>
      </c>
      <c r="K190" s="455" t="s">
        <v>127</v>
      </c>
      <c r="L190" s="455" t="s">
        <v>426</v>
      </c>
      <c r="M190" s="456">
        <v>44197</v>
      </c>
      <c r="N190" s="456">
        <v>44561</v>
      </c>
      <c r="O190" s="455">
        <f>+R190+U190+X190+AA190+AD190+AG190+AJ190+AM190+AP190+AS190+AV190+AY190</f>
        <v>1</v>
      </c>
      <c r="P190" s="455">
        <v>1</v>
      </c>
      <c r="Q190" s="455">
        <v>0</v>
      </c>
      <c r="R190" s="455">
        <v>0</v>
      </c>
      <c r="S190" s="524" t="s">
        <v>1720</v>
      </c>
      <c r="T190" s="455">
        <v>1</v>
      </c>
      <c r="U190" s="455">
        <v>0</v>
      </c>
      <c r="V190" s="524" t="s">
        <v>1721</v>
      </c>
      <c r="W190" s="455">
        <v>0</v>
      </c>
      <c r="X190" s="455">
        <v>0</v>
      </c>
      <c r="Y190" s="455" t="s">
        <v>1722</v>
      </c>
      <c r="Z190" s="455">
        <v>0</v>
      </c>
      <c r="AA190" s="455">
        <v>1</v>
      </c>
      <c r="AB190" s="457" t="s">
        <v>196</v>
      </c>
      <c r="AC190" s="455">
        <v>0</v>
      </c>
      <c r="AD190" s="455">
        <v>0</v>
      </c>
      <c r="AE190" s="457" t="s">
        <v>1723</v>
      </c>
      <c r="AF190" s="455">
        <v>0</v>
      </c>
      <c r="AG190" s="458">
        <v>0</v>
      </c>
      <c r="AH190" s="523" t="s">
        <v>1715</v>
      </c>
      <c r="AI190" s="455">
        <v>0</v>
      </c>
      <c r="AJ190" s="455"/>
      <c r="AK190" s="455"/>
      <c r="AL190" s="455">
        <v>0</v>
      </c>
      <c r="AM190" s="455"/>
      <c r="AN190" s="455"/>
      <c r="AO190" s="455">
        <v>0</v>
      </c>
      <c r="AP190" s="455"/>
      <c r="AQ190" s="455"/>
      <c r="AR190" s="455">
        <v>0</v>
      </c>
      <c r="AS190" s="455"/>
      <c r="AT190" s="455"/>
      <c r="AU190" s="455">
        <v>0</v>
      </c>
      <c r="AV190" s="455"/>
      <c r="AW190" s="455"/>
      <c r="AX190" s="455">
        <v>0</v>
      </c>
      <c r="AY190" s="453"/>
      <c r="AZ190" s="453"/>
      <c r="BA190" s="453">
        <f t="shared" si="8"/>
        <v>1</v>
      </c>
      <c r="BB190" s="453">
        <f t="shared" si="9"/>
        <v>1</v>
      </c>
      <c r="BC190" s="459">
        <f>+IF(BA190=0,+IF(BB190=0,"No programación, No avance",+IF(BB190&gt;0,+IF(BA190=0,BB190/P190))),BB190/BA190)</f>
        <v>1</v>
      </c>
    </row>
    <row r="191" spans="1:56" s="2" customFormat="1" ht="96.75" customHeight="1">
      <c r="A191" s="718"/>
      <c r="B191" s="750"/>
      <c r="C191" s="685"/>
      <c r="D191" s="685"/>
      <c r="E191" s="455" t="s">
        <v>1725</v>
      </c>
      <c r="F191" s="455" t="s">
        <v>1694</v>
      </c>
      <c r="G191" s="455">
        <v>0.2</v>
      </c>
      <c r="H191" s="455" t="s">
        <v>426</v>
      </c>
      <c r="I191" s="455" t="s">
        <v>73</v>
      </c>
      <c r="J191" s="455" t="s">
        <v>1695</v>
      </c>
      <c r="K191" s="455" t="s">
        <v>127</v>
      </c>
      <c r="L191" s="455" t="s">
        <v>426</v>
      </c>
      <c r="M191" s="456">
        <v>44197</v>
      </c>
      <c r="N191" s="456">
        <v>44561</v>
      </c>
      <c r="O191" s="455">
        <f>+R191+U191+X191+AA191+AD191+AG191+AJ191+AM191+AP191+AS191+AV191+AY191</f>
        <v>0</v>
      </c>
      <c r="P191" s="455">
        <v>1</v>
      </c>
      <c r="Q191" s="455">
        <v>0</v>
      </c>
      <c r="R191" s="455">
        <v>0</v>
      </c>
      <c r="S191" s="524" t="s">
        <v>1726</v>
      </c>
      <c r="T191" s="455">
        <v>0</v>
      </c>
      <c r="U191" s="455">
        <v>0</v>
      </c>
      <c r="V191" s="524" t="s">
        <v>1727</v>
      </c>
      <c r="W191" s="455">
        <v>1</v>
      </c>
      <c r="X191" s="455">
        <v>0</v>
      </c>
      <c r="Y191" s="455" t="s">
        <v>1728</v>
      </c>
      <c r="Z191" s="455">
        <v>0</v>
      </c>
      <c r="AA191" s="455">
        <v>0</v>
      </c>
      <c r="AB191" s="457" t="s">
        <v>1729</v>
      </c>
      <c r="AC191" s="455">
        <v>0</v>
      </c>
      <c r="AD191" s="455">
        <v>0</v>
      </c>
      <c r="AE191" s="457" t="s">
        <v>1730</v>
      </c>
      <c r="AF191" s="455">
        <v>0</v>
      </c>
      <c r="AG191" s="458">
        <v>0</v>
      </c>
      <c r="AH191" s="523" t="s">
        <v>1715</v>
      </c>
      <c r="AI191" s="455">
        <v>0</v>
      </c>
      <c r="AJ191" s="455"/>
      <c r="AK191" s="455"/>
      <c r="AL191" s="455">
        <v>0</v>
      </c>
      <c r="AM191" s="455"/>
      <c r="AN191" s="455"/>
      <c r="AO191" s="455">
        <v>0</v>
      </c>
      <c r="AP191" s="455"/>
      <c r="AQ191" s="455"/>
      <c r="AR191" s="455">
        <v>0</v>
      </c>
      <c r="AS191" s="455"/>
      <c r="AT191" s="455"/>
      <c r="AU191" s="455">
        <v>0</v>
      </c>
      <c r="AV191" s="455"/>
      <c r="AW191" s="455"/>
      <c r="AX191" s="455">
        <v>0</v>
      </c>
      <c r="AY191" s="453"/>
      <c r="AZ191" s="453"/>
      <c r="BA191" s="453">
        <f t="shared" si="8"/>
        <v>1</v>
      </c>
      <c r="BB191" s="453">
        <f t="shared" si="9"/>
        <v>0</v>
      </c>
      <c r="BC191" s="459">
        <f>+IF(BA191=0,+IF(BB191=0,"No programación, No avance",+IF(BB191&gt;0,+IF(BA191=0,BB191/P191))),BB191/BA191)</f>
        <v>0</v>
      </c>
    </row>
    <row r="192" spans="1:56" s="2" customFormat="1" ht="96.75" customHeight="1">
      <c r="A192" s="718"/>
      <c r="B192" s="750"/>
      <c r="C192" s="455" t="s">
        <v>194</v>
      </c>
      <c r="D192" s="455" t="s">
        <v>1732</v>
      </c>
      <c r="E192" s="455" t="s">
        <v>1733</v>
      </c>
      <c r="F192" s="455" t="s">
        <v>1694</v>
      </c>
      <c r="G192" s="455">
        <v>1</v>
      </c>
      <c r="H192" s="455" t="s">
        <v>426</v>
      </c>
      <c r="I192" s="455" t="s">
        <v>73</v>
      </c>
      <c r="J192" s="455" t="s">
        <v>1695</v>
      </c>
      <c r="K192" s="455" t="s">
        <v>127</v>
      </c>
      <c r="L192" s="455" t="s">
        <v>1696</v>
      </c>
      <c r="M192" s="456">
        <v>44197</v>
      </c>
      <c r="N192" s="456">
        <v>44561</v>
      </c>
      <c r="O192" s="455">
        <f>+R192+U192+X192+AA192+AD192+AG192+AJ192+AM192+AP192+AS192+AV192+AY192</f>
        <v>0</v>
      </c>
      <c r="P192" s="455">
        <v>10</v>
      </c>
      <c r="Q192" s="455">
        <v>0</v>
      </c>
      <c r="R192" s="455">
        <v>0</v>
      </c>
      <c r="S192" s="524" t="s">
        <v>198</v>
      </c>
      <c r="T192" s="455">
        <v>0</v>
      </c>
      <c r="U192" s="455">
        <v>0</v>
      </c>
      <c r="V192" s="525" t="s">
        <v>1734</v>
      </c>
      <c r="W192" s="455">
        <v>0</v>
      </c>
      <c r="X192" s="455">
        <v>0</v>
      </c>
      <c r="Y192" s="455" t="s">
        <v>1735</v>
      </c>
      <c r="Z192" s="455">
        <v>0</v>
      </c>
      <c r="AA192" s="455">
        <v>0</v>
      </c>
      <c r="AB192" s="457" t="s">
        <v>1736</v>
      </c>
      <c r="AC192" s="455">
        <v>0</v>
      </c>
      <c r="AD192" s="455">
        <v>0</v>
      </c>
      <c r="AE192" s="457" t="s">
        <v>1737</v>
      </c>
      <c r="AF192" s="455">
        <v>0</v>
      </c>
      <c r="AG192" s="458">
        <v>0</v>
      </c>
      <c r="AH192" s="523" t="s">
        <v>1738</v>
      </c>
      <c r="AI192" s="455">
        <v>3</v>
      </c>
      <c r="AJ192" s="455"/>
      <c r="AK192" s="455"/>
      <c r="AL192" s="455">
        <v>0</v>
      </c>
      <c r="AM192" s="455"/>
      <c r="AN192" s="455"/>
      <c r="AO192" s="455">
        <v>0</v>
      </c>
      <c r="AP192" s="455"/>
      <c r="AQ192" s="455"/>
      <c r="AR192" s="455">
        <v>3</v>
      </c>
      <c r="AS192" s="455"/>
      <c r="AT192" s="455"/>
      <c r="AU192" s="455">
        <v>0</v>
      </c>
      <c r="AV192" s="455"/>
      <c r="AW192" s="455"/>
      <c r="AX192" s="455">
        <v>1</v>
      </c>
      <c r="AY192" s="453"/>
      <c r="AZ192" s="453"/>
      <c r="BA192" s="453">
        <f t="shared" si="8"/>
        <v>0</v>
      </c>
      <c r="BB192" s="453">
        <f t="shared" si="9"/>
        <v>0</v>
      </c>
      <c r="BC192" s="459" t="str">
        <f>+IF(BA192=0,+IF(BB192=0,"No programación, No avance",+IF(BB192&gt;0,+IF(BA192=0,BB192/P192))),BB192/BA192)</f>
        <v>No programación, No avance</v>
      </c>
    </row>
    <row r="193" spans="1:56" s="2" customFormat="1" ht="96.75" customHeight="1">
      <c r="A193" s="718"/>
      <c r="B193" s="750"/>
      <c r="C193" s="685" t="s">
        <v>200</v>
      </c>
      <c r="D193" s="685" t="s">
        <v>1740</v>
      </c>
      <c r="E193" s="455" t="s">
        <v>1741</v>
      </c>
      <c r="F193" s="455" t="s">
        <v>1694</v>
      </c>
      <c r="G193" s="455">
        <v>0.8</v>
      </c>
      <c r="H193" s="455" t="s">
        <v>426</v>
      </c>
      <c r="I193" s="455" t="s">
        <v>73</v>
      </c>
      <c r="J193" s="455" t="s">
        <v>1695</v>
      </c>
      <c r="K193" s="455" t="s">
        <v>127</v>
      </c>
      <c r="L193" s="455" t="s">
        <v>1696</v>
      </c>
      <c r="M193" s="456">
        <v>44197</v>
      </c>
      <c r="N193" s="456">
        <v>44561</v>
      </c>
      <c r="O193" s="455">
        <f>+R193+U193+X193+AA193+AD193+AG193+AJ193+AM193+AP193+AS193+AV193+AY193</f>
        <v>6</v>
      </c>
      <c r="P193" s="455">
        <v>50</v>
      </c>
      <c r="Q193" s="455">
        <v>0</v>
      </c>
      <c r="R193" s="455">
        <v>0</v>
      </c>
      <c r="S193" s="461" t="s">
        <v>201</v>
      </c>
      <c r="T193" s="455">
        <v>0</v>
      </c>
      <c r="U193" s="455">
        <v>0</v>
      </c>
      <c r="V193" s="526" t="s">
        <v>1742</v>
      </c>
      <c r="W193" s="455">
        <v>0</v>
      </c>
      <c r="X193" s="455">
        <v>0</v>
      </c>
      <c r="Y193" s="455" t="s">
        <v>1743</v>
      </c>
      <c r="Z193" s="455">
        <v>0</v>
      </c>
      <c r="AA193" s="455">
        <v>0</v>
      </c>
      <c r="AB193" s="457" t="s">
        <v>1744</v>
      </c>
      <c r="AC193" s="455">
        <v>6</v>
      </c>
      <c r="AD193" s="455">
        <v>1</v>
      </c>
      <c r="AE193" s="457" t="s">
        <v>1745</v>
      </c>
      <c r="AF193" s="455">
        <v>6</v>
      </c>
      <c r="AG193" s="458">
        <v>5</v>
      </c>
      <c r="AH193" s="523" t="s">
        <v>1746</v>
      </c>
      <c r="AI193" s="455">
        <v>8</v>
      </c>
      <c r="AJ193" s="455"/>
      <c r="AK193" s="455"/>
      <c r="AL193" s="455">
        <v>8</v>
      </c>
      <c r="AM193" s="455"/>
      <c r="AN193" s="455"/>
      <c r="AO193" s="455">
        <v>8</v>
      </c>
      <c r="AP193" s="455"/>
      <c r="AQ193" s="455"/>
      <c r="AR193" s="455">
        <v>10</v>
      </c>
      <c r="AS193" s="455"/>
      <c r="AT193" s="455"/>
      <c r="AU193" s="455">
        <v>10</v>
      </c>
      <c r="AV193" s="455"/>
      <c r="AW193" s="455"/>
      <c r="AX193" s="455">
        <v>10</v>
      </c>
      <c r="AY193" s="453"/>
      <c r="AZ193" s="453"/>
      <c r="BA193" s="453">
        <f t="shared" si="8"/>
        <v>12</v>
      </c>
      <c r="BB193" s="453">
        <f t="shared" si="9"/>
        <v>6</v>
      </c>
      <c r="BC193" s="459">
        <f>+IF(BA193=0,+IF(BB193=0,"No programación, No avance",+IF(BB193&gt;0,+IF(BA193=0,BB193/P193))),BB193/BA193)</f>
        <v>0.5</v>
      </c>
    </row>
    <row r="194" spans="1:56" s="2" customFormat="1" ht="96.75" customHeight="1">
      <c r="A194" s="718"/>
      <c r="B194" s="750"/>
      <c r="C194" s="685"/>
      <c r="D194" s="685"/>
      <c r="E194" s="455" t="s">
        <v>1748</v>
      </c>
      <c r="F194" s="455" t="s">
        <v>1694</v>
      </c>
      <c r="G194" s="455">
        <v>0.2</v>
      </c>
      <c r="H194" s="455" t="s">
        <v>426</v>
      </c>
      <c r="I194" s="455" t="s">
        <v>73</v>
      </c>
      <c r="J194" s="455" t="s">
        <v>1695</v>
      </c>
      <c r="K194" s="455" t="s">
        <v>127</v>
      </c>
      <c r="L194" s="455" t="s">
        <v>1696</v>
      </c>
      <c r="M194" s="456">
        <v>44197</v>
      </c>
      <c r="N194" s="456">
        <v>44561</v>
      </c>
      <c r="O194" s="455">
        <f>+R194+U194+X194+AA194+AD194+AG194+AJ194+AM194+AP194+AS194+AV194+AY194</f>
        <v>28</v>
      </c>
      <c r="P194" s="455">
        <v>25</v>
      </c>
      <c r="Q194" s="455">
        <v>0</v>
      </c>
      <c r="R194" s="455">
        <v>0</v>
      </c>
      <c r="S194" s="461" t="s">
        <v>201</v>
      </c>
      <c r="T194" s="455">
        <v>0</v>
      </c>
      <c r="U194" s="455">
        <v>0</v>
      </c>
      <c r="V194" s="526" t="s">
        <v>1742</v>
      </c>
      <c r="W194" s="455">
        <v>0</v>
      </c>
      <c r="X194" s="455">
        <v>0</v>
      </c>
      <c r="Y194" s="455" t="s">
        <v>1749</v>
      </c>
      <c r="Z194" s="455">
        <v>6</v>
      </c>
      <c r="AA194" s="455">
        <v>14</v>
      </c>
      <c r="AB194" s="475" t="s">
        <v>1750</v>
      </c>
      <c r="AC194" s="455">
        <v>0</v>
      </c>
      <c r="AD194" s="455">
        <v>8</v>
      </c>
      <c r="AE194" s="457" t="s">
        <v>1751</v>
      </c>
      <c r="AF194" s="455">
        <v>0</v>
      </c>
      <c r="AG194" s="458">
        <v>6</v>
      </c>
      <c r="AH194" s="523" t="s">
        <v>1752</v>
      </c>
      <c r="AI194" s="455">
        <v>0</v>
      </c>
      <c r="AJ194" s="455"/>
      <c r="AK194" s="455"/>
      <c r="AL194" s="455">
        <v>0</v>
      </c>
      <c r="AM194" s="455"/>
      <c r="AN194" s="455"/>
      <c r="AO194" s="455">
        <v>0</v>
      </c>
      <c r="AP194" s="455"/>
      <c r="AQ194" s="455"/>
      <c r="AR194" s="455">
        <v>0</v>
      </c>
      <c r="AS194" s="455"/>
      <c r="AT194" s="455"/>
      <c r="AU194" s="455">
        <v>0</v>
      </c>
      <c r="AV194" s="455"/>
      <c r="AW194" s="455"/>
      <c r="AX194" s="455">
        <v>0</v>
      </c>
      <c r="AY194" s="453"/>
      <c r="AZ194" s="453"/>
      <c r="BA194" s="453">
        <f t="shared" si="8"/>
        <v>6</v>
      </c>
      <c r="BB194" s="453">
        <f t="shared" si="9"/>
        <v>28</v>
      </c>
      <c r="BC194" s="459">
        <f>+IF(BA194=0,+IF(BB194=0,"No programación, No avance",+IF(BB194&gt;0,+IF(BA194=0,BB194/P194))),BB194/BA194)</f>
        <v>4.666666666666667</v>
      </c>
    </row>
    <row r="195" spans="1:56" s="2" customFormat="1" ht="96.75" customHeight="1">
      <c r="A195" s="718"/>
      <c r="B195" s="750"/>
      <c r="C195" s="455" t="s">
        <v>203</v>
      </c>
      <c r="D195" s="455" t="s">
        <v>1754</v>
      </c>
      <c r="E195" s="455" t="s">
        <v>1755</v>
      </c>
      <c r="F195" s="455" t="s">
        <v>1694</v>
      </c>
      <c r="G195" s="455">
        <v>1</v>
      </c>
      <c r="H195" s="455" t="s">
        <v>426</v>
      </c>
      <c r="I195" s="455" t="s">
        <v>73</v>
      </c>
      <c r="J195" s="455" t="s">
        <v>1695</v>
      </c>
      <c r="K195" s="455" t="s">
        <v>127</v>
      </c>
      <c r="L195" s="455" t="s">
        <v>1696</v>
      </c>
      <c r="M195" s="456">
        <v>44197</v>
      </c>
      <c r="N195" s="456">
        <v>44561</v>
      </c>
      <c r="O195" s="455">
        <f>+R195+U195+X195+AA195+AD195+AG195+AJ195+AM195+AP195+AS195+AV195+AY195</f>
        <v>37238</v>
      </c>
      <c r="P195" s="455">
        <v>30181</v>
      </c>
      <c r="Q195" s="455">
        <v>0</v>
      </c>
      <c r="R195" s="455">
        <v>1694</v>
      </c>
      <c r="S195" s="524" t="s">
        <v>204</v>
      </c>
      <c r="T195" s="455">
        <v>5181</v>
      </c>
      <c r="U195" s="455">
        <v>1694</v>
      </c>
      <c r="V195" s="524" t="s">
        <v>205</v>
      </c>
      <c r="W195" s="455">
        <v>0</v>
      </c>
      <c r="X195" s="455">
        <v>0</v>
      </c>
      <c r="Y195" s="455" t="s">
        <v>1756</v>
      </c>
      <c r="Z195" s="455">
        <v>0</v>
      </c>
      <c r="AA195" s="455">
        <v>0</v>
      </c>
      <c r="AB195" s="475" t="s">
        <v>206</v>
      </c>
      <c r="AC195" s="455">
        <v>2141</v>
      </c>
      <c r="AD195" s="455">
        <v>22591</v>
      </c>
      <c r="AE195" s="457" t="s">
        <v>1757</v>
      </c>
      <c r="AF195" s="455">
        <v>3374</v>
      </c>
      <c r="AG195" s="458">
        <v>11259</v>
      </c>
      <c r="AH195" s="523" t="s">
        <v>1758</v>
      </c>
      <c r="AI195" s="455">
        <v>0</v>
      </c>
      <c r="AJ195" s="455"/>
      <c r="AK195" s="455"/>
      <c r="AL195" s="455">
        <v>0</v>
      </c>
      <c r="AM195" s="455"/>
      <c r="AN195" s="455"/>
      <c r="AO195" s="455">
        <v>0</v>
      </c>
      <c r="AP195" s="455"/>
      <c r="AQ195" s="455"/>
      <c r="AR195" s="455">
        <v>0</v>
      </c>
      <c r="AS195" s="455"/>
      <c r="AT195" s="455"/>
      <c r="AU195" s="455">
        <v>0</v>
      </c>
      <c r="AV195" s="455"/>
      <c r="AW195" s="455"/>
      <c r="AX195" s="455">
        <v>0</v>
      </c>
      <c r="AY195" s="453"/>
      <c r="AZ195" s="453"/>
      <c r="BA195" s="453">
        <f t="shared" si="8"/>
        <v>10696</v>
      </c>
      <c r="BB195" s="453">
        <f t="shared" si="9"/>
        <v>37238</v>
      </c>
      <c r="BC195" s="459">
        <f>+IF(BA195=0,+IF(BB195=0,"No programación, No avance",+IF(BB195&gt;0,+IF(BA195=0,BB195/P195))),BB195/BA195)</f>
        <v>3.481488406881077</v>
      </c>
    </row>
    <row r="196" spans="1:56" s="2" customFormat="1" ht="96.75" customHeight="1">
      <c r="A196" s="718"/>
      <c r="B196" s="750"/>
      <c r="C196" s="455" t="s">
        <v>203</v>
      </c>
      <c r="D196" s="455" t="s">
        <v>207</v>
      </c>
      <c r="E196" s="455" t="s">
        <v>1759</v>
      </c>
      <c r="F196" s="455" t="s">
        <v>1694</v>
      </c>
      <c r="G196" s="455">
        <v>1</v>
      </c>
      <c r="H196" s="455"/>
      <c r="I196" s="455" t="s">
        <v>73</v>
      </c>
      <c r="J196" s="455" t="s">
        <v>1695</v>
      </c>
      <c r="K196" s="455" t="s">
        <v>127</v>
      </c>
      <c r="L196" s="455" t="s">
        <v>1696</v>
      </c>
      <c r="M196" s="456">
        <v>44197</v>
      </c>
      <c r="N196" s="456">
        <v>44561</v>
      </c>
      <c r="O196" s="455"/>
      <c r="P196" s="455">
        <v>16000</v>
      </c>
      <c r="Q196" s="455">
        <v>0</v>
      </c>
      <c r="R196" s="455">
        <v>0</v>
      </c>
      <c r="S196" s="524" t="s">
        <v>208</v>
      </c>
      <c r="T196" s="455">
        <v>1516</v>
      </c>
      <c r="U196" s="455">
        <v>1608</v>
      </c>
      <c r="V196" s="525" t="s">
        <v>209</v>
      </c>
      <c r="W196" s="455">
        <v>1321</v>
      </c>
      <c r="X196" s="455">
        <v>1109</v>
      </c>
      <c r="Y196" s="455" t="s">
        <v>1760</v>
      </c>
      <c r="Z196" s="455">
        <v>1933</v>
      </c>
      <c r="AA196" s="455">
        <v>1712</v>
      </c>
      <c r="AB196" s="457" t="s">
        <v>210</v>
      </c>
      <c r="AC196" s="455">
        <v>1745</v>
      </c>
      <c r="AD196" s="455">
        <v>1566</v>
      </c>
      <c r="AE196" s="457" t="s">
        <v>1761</v>
      </c>
      <c r="AF196" s="455">
        <v>1091</v>
      </c>
      <c r="AG196" s="458">
        <v>896</v>
      </c>
      <c r="AH196" s="523" t="s">
        <v>1762</v>
      </c>
      <c r="AI196" s="455">
        <v>1076</v>
      </c>
      <c r="AJ196" s="455"/>
      <c r="AK196" s="455"/>
      <c r="AL196" s="455">
        <v>2222</v>
      </c>
      <c r="AM196" s="455"/>
      <c r="AN196" s="455"/>
      <c r="AO196" s="455">
        <v>2754</v>
      </c>
      <c r="AP196" s="455"/>
      <c r="AQ196" s="455"/>
      <c r="AR196" s="455">
        <v>2942</v>
      </c>
      <c r="AS196" s="455"/>
      <c r="AT196" s="455"/>
      <c r="AU196" s="455">
        <v>0</v>
      </c>
      <c r="AV196" s="455"/>
      <c r="AW196" s="455"/>
      <c r="AX196" s="455">
        <v>14484</v>
      </c>
      <c r="AY196" s="453"/>
      <c r="AZ196" s="453"/>
      <c r="BA196" s="453">
        <f t="shared" si="8"/>
        <v>7606</v>
      </c>
      <c r="BB196" s="453">
        <f t="shared" si="9"/>
        <v>6891</v>
      </c>
      <c r="BC196" s="459">
        <f>+IF(BA196=0,+IF(BB196=0,"No programación, No avance",+IF(BB196&gt;0,+IF(BA196=0,BB196/P196))),BB196/BA196)</f>
        <v>0.90599526689455689</v>
      </c>
    </row>
    <row r="197" spans="1:56" s="2" customFormat="1" ht="96.75" customHeight="1">
      <c r="A197" s="718"/>
      <c r="B197" s="750"/>
      <c r="C197" s="455" t="s">
        <v>212</v>
      </c>
      <c r="D197" s="455" t="s">
        <v>1764</v>
      </c>
      <c r="E197" s="455" t="s">
        <v>1765</v>
      </c>
      <c r="F197" s="455" t="s">
        <v>1694</v>
      </c>
      <c r="G197" s="455">
        <v>1</v>
      </c>
      <c r="H197" s="455" t="s">
        <v>426</v>
      </c>
      <c r="I197" s="455" t="s">
        <v>73</v>
      </c>
      <c r="J197" s="455" t="s">
        <v>1695</v>
      </c>
      <c r="K197" s="455" t="s">
        <v>127</v>
      </c>
      <c r="L197" s="455" t="s">
        <v>1696</v>
      </c>
      <c r="M197" s="456">
        <v>44197</v>
      </c>
      <c r="N197" s="456">
        <v>44561</v>
      </c>
      <c r="O197" s="455">
        <f>+R197+U197+X197+AA197+AD197+AG197+AJ197+AM197+AP197+AS197+AV197+AY197</f>
        <v>12593</v>
      </c>
      <c r="P197" s="455">
        <v>14000</v>
      </c>
      <c r="Q197" s="455">
        <v>0</v>
      </c>
      <c r="R197" s="455">
        <v>450</v>
      </c>
      <c r="S197" s="524" t="s">
        <v>204</v>
      </c>
      <c r="T197" s="455">
        <v>0</v>
      </c>
      <c r="U197" s="455">
        <v>450</v>
      </c>
      <c r="V197" s="524" t="s">
        <v>213</v>
      </c>
      <c r="W197" s="455">
        <v>0</v>
      </c>
      <c r="X197" s="455">
        <v>0</v>
      </c>
      <c r="Y197" s="455" t="s">
        <v>1766</v>
      </c>
      <c r="Z197" s="455">
        <v>0</v>
      </c>
      <c r="AA197" s="455">
        <v>6494</v>
      </c>
      <c r="AB197" s="457" t="s">
        <v>214</v>
      </c>
      <c r="AC197" s="455">
        <v>2000</v>
      </c>
      <c r="AD197" s="455">
        <v>0</v>
      </c>
      <c r="AE197" s="457" t="s">
        <v>1767</v>
      </c>
      <c r="AF197" s="455">
        <v>2000</v>
      </c>
      <c r="AG197" s="458">
        <v>5199</v>
      </c>
      <c r="AH197" s="523" t="s">
        <v>1768</v>
      </c>
      <c r="AI197" s="455">
        <v>2000</v>
      </c>
      <c r="AJ197" s="455"/>
      <c r="AK197" s="455"/>
      <c r="AL197" s="455">
        <v>2000</v>
      </c>
      <c r="AM197" s="455"/>
      <c r="AN197" s="455"/>
      <c r="AO197" s="455">
        <v>2000</v>
      </c>
      <c r="AP197" s="455"/>
      <c r="AQ197" s="455"/>
      <c r="AR197" s="455">
        <v>2000</v>
      </c>
      <c r="AS197" s="455"/>
      <c r="AT197" s="455"/>
      <c r="AU197" s="455">
        <v>2000</v>
      </c>
      <c r="AV197" s="455"/>
      <c r="AW197" s="455"/>
      <c r="AX197" s="455">
        <v>2000</v>
      </c>
      <c r="AY197" s="453"/>
      <c r="AZ197" s="453"/>
      <c r="BA197" s="453">
        <f t="shared" si="8"/>
        <v>4000</v>
      </c>
      <c r="BB197" s="453">
        <f t="shared" si="9"/>
        <v>12593</v>
      </c>
      <c r="BC197" s="459">
        <f>+IF(BA197=0,+IF(BB197=0,"No programación, No avance",+IF(BB197&gt;0,+IF(BA197=0,BB197/P197))),BB197/BA197)</f>
        <v>3.14825</v>
      </c>
    </row>
    <row r="198" spans="1:56" s="2" customFormat="1" ht="96.75" customHeight="1">
      <c r="A198" s="718"/>
      <c r="B198" s="750"/>
      <c r="C198" s="685" t="s">
        <v>216</v>
      </c>
      <c r="D198" s="685" t="s">
        <v>1770</v>
      </c>
      <c r="E198" s="455" t="s">
        <v>1771</v>
      </c>
      <c r="F198" s="455" t="s">
        <v>1694</v>
      </c>
      <c r="G198" s="455">
        <v>0.8</v>
      </c>
      <c r="H198" s="455" t="s">
        <v>426</v>
      </c>
      <c r="I198" s="455" t="s">
        <v>73</v>
      </c>
      <c r="J198" s="455" t="s">
        <v>1772</v>
      </c>
      <c r="K198" s="455" t="s">
        <v>127</v>
      </c>
      <c r="L198" s="455" t="s">
        <v>1696</v>
      </c>
      <c r="M198" s="456">
        <v>44197</v>
      </c>
      <c r="N198" s="456">
        <v>44561</v>
      </c>
      <c r="O198" s="455">
        <f>+R198+U198+X198+AA198+AD198+AG198+AJ198+AM198+AP198+AS198+AV198+AY198</f>
        <v>690150</v>
      </c>
      <c r="P198" s="455">
        <v>603620</v>
      </c>
      <c r="Q198" s="455">
        <v>0</v>
      </c>
      <c r="R198" s="455">
        <v>0</v>
      </c>
      <c r="S198" s="461" t="s">
        <v>218</v>
      </c>
      <c r="T198" s="455">
        <v>104387</v>
      </c>
      <c r="U198" s="455">
        <v>0</v>
      </c>
      <c r="V198" s="526" t="s">
        <v>1773</v>
      </c>
      <c r="W198" s="455">
        <v>0</v>
      </c>
      <c r="X198" s="455">
        <v>0</v>
      </c>
      <c r="Y198" s="455" t="s">
        <v>1774</v>
      </c>
      <c r="Z198" s="455">
        <v>0</v>
      </c>
      <c r="AA198" s="455">
        <v>0</v>
      </c>
      <c r="AB198" s="457" t="s">
        <v>219</v>
      </c>
      <c r="AC198" s="455">
        <v>45519</v>
      </c>
      <c r="AD198" s="455">
        <v>466682</v>
      </c>
      <c r="AE198" s="457" t="s">
        <v>1775</v>
      </c>
      <c r="AF198" s="455">
        <v>67180</v>
      </c>
      <c r="AG198" s="458">
        <v>223468</v>
      </c>
      <c r="AH198" s="523" t="s">
        <v>1758</v>
      </c>
      <c r="AI198" s="455">
        <v>0</v>
      </c>
      <c r="AJ198" s="455"/>
      <c r="AK198" s="455"/>
      <c r="AL198" s="455">
        <v>0</v>
      </c>
      <c r="AM198" s="455"/>
      <c r="AN198" s="455"/>
      <c r="AO198" s="455">
        <v>0</v>
      </c>
      <c r="AP198" s="455"/>
      <c r="AQ198" s="455"/>
      <c r="AR198" s="455">
        <v>0</v>
      </c>
      <c r="AS198" s="455"/>
      <c r="AT198" s="455"/>
      <c r="AU198" s="455">
        <v>0</v>
      </c>
      <c r="AV198" s="455"/>
      <c r="AW198" s="455"/>
      <c r="AX198" s="455">
        <v>0</v>
      </c>
      <c r="AY198" s="453"/>
      <c r="AZ198" s="453"/>
      <c r="BA198" s="453">
        <f t="shared" si="8"/>
        <v>217086</v>
      </c>
      <c r="BB198" s="453">
        <f t="shared" si="9"/>
        <v>690150</v>
      </c>
      <c r="BC198" s="459">
        <f>+IF(BA198=0,+IF(BB198=0,"No programación, No avance",+IF(BB198&gt;0,+IF(BA198=0,BB198/P198))),BB198/BA198)</f>
        <v>3.1791548050081535</v>
      </c>
    </row>
    <row r="199" spans="1:56" s="2" customFormat="1" ht="96.75" customHeight="1">
      <c r="A199" s="718"/>
      <c r="B199" s="750"/>
      <c r="C199" s="685"/>
      <c r="D199" s="685"/>
      <c r="E199" s="455" t="s">
        <v>1777</v>
      </c>
      <c r="F199" s="455" t="s">
        <v>1694</v>
      </c>
      <c r="G199" s="455">
        <v>0.2</v>
      </c>
      <c r="H199" s="455" t="s">
        <v>426</v>
      </c>
      <c r="I199" s="455" t="s">
        <v>73</v>
      </c>
      <c r="J199" s="455" t="s">
        <v>1695</v>
      </c>
      <c r="K199" s="455" t="s">
        <v>127</v>
      </c>
      <c r="L199" s="455" t="s">
        <v>1696</v>
      </c>
      <c r="M199" s="456">
        <v>44197</v>
      </c>
      <c r="N199" s="456">
        <v>44561</v>
      </c>
      <c r="O199" s="455">
        <f>+R199+U199+X199+AA199+AD199+AG199+AJ199+AM199+AP199+AS199+AV199+AY199</f>
        <v>14</v>
      </c>
      <c r="P199" s="455">
        <v>17</v>
      </c>
      <c r="Q199" s="455">
        <v>0</v>
      </c>
      <c r="R199" s="455">
        <v>0</v>
      </c>
      <c r="S199" s="461" t="s">
        <v>218</v>
      </c>
      <c r="T199" s="455">
        <v>0</v>
      </c>
      <c r="U199" s="455">
        <v>0</v>
      </c>
      <c r="V199" s="526" t="s">
        <v>1773</v>
      </c>
      <c r="W199" s="455">
        <v>0</v>
      </c>
      <c r="X199" s="455">
        <v>0</v>
      </c>
      <c r="Y199" s="455" t="s">
        <v>1778</v>
      </c>
      <c r="Z199" s="455">
        <v>6</v>
      </c>
      <c r="AA199" s="455">
        <v>0</v>
      </c>
      <c r="AB199" s="475" t="s">
        <v>1779</v>
      </c>
      <c r="AC199" s="455">
        <v>0</v>
      </c>
      <c r="AD199" s="455">
        <v>8</v>
      </c>
      <c r="AE199" s="457" t="s">
        <v>1751</v>
      </c>
      <c r="AF199" s="455">
        <v>0</v>
      </c>
      <c r="AG199" s="458">
        <v>6</v>
      </c>
      <c r="AH199" s="523" t="s">
        <v>1752</v>
      </c>
      <c r="AI199" s="455">
        <v>0</v>
      </c>
      <c r="AJ199" s="455"/>
      <c r="AK199" s="455"/>
      <c r="AL199" s="455">
        <v>0</v>
      </c>
      <c r="AM199" s="455"/>
      <c r="AN199" s="455"/>
      <c r="AO199" s="455">
        <v>0</v>
      </c>
      <c r="AP199" s="455"/>
      <c r="AQ199" s="455"/>
      <c r="AR199" s="455">
        <v>0</v>
      </c>
      <c r="AS199" s="455"/>
      <c r="AT199" s="455"/>
      <c r="AU199" s="455">
        <v>0</v>
      </c>
      <c r="AV199" s="455"/>
      <c r="AW199" s="455"/>
      <c r="AX199" s="455">
        <v>0</v>
      </c>
      <c r="AY199" s="453"/>
      <c r="AZ199" s="453"/>
      <c r="BA199" s="453">
        <f t="shared" si="8"/>
        <v>6</v>
      </c>
      <c r="BB199" s="453">
        <f t="shared" si="9"/>
        <v>14</v>
      </c>
      <c r="BC199" s="459">
        <f>+IF(BA199=0,+IF(BB199=0,"No programación, No avance",+IF(BB199&gt;0,+IF(BA199=0,BB199/P199))),BB199/BA199)</f>
        <v>2.3333333333333335</v>
      </c>
    </row>
    <row r="200" spans="1:56" s="2" customFormat="1" ht="96.75" customHeight="1">
      <c r="A200" s="718"/>
      <c r="B200" s="750"/>
      <c r="C200" s="685" t="s">
        <v>221</v>
      </c>
      <c r="D200" s="685" t="s">
        <v>1781</v>
      </c>
      <c r="E200" s="455" t="s">
        <v>1782</v>
      </c>
      <c r="F200" s="455" t="s">
        <v>472</v>
      </c>
      <c r="G200" s="455">
        <v>0.5</v>
      </c>
      <c r="H200" s="455" t="s">
        <v>426</v>
      </c>
      <c r="I200" s="455" t="s">
        <v>73</v>
      </c>
      <c r="J200" s="455" t="s">
        <v>1695</v>
      </c>
      <c r="K200" s="455" t="s">
        <v>127</v>
      </c>
      <c r="L200" s="455" t="s">
        <v>1696</v>
      </c>
      <c r="M200" s="456">
        <v>44197</v>
      </c>
      <c r="N200" s="456">
        <v>44561</v>
      </c>
      <c r="O200" s="455">
        <f>+R200+U200+X200+AA200+AD200+AG200+AJ200+AM200+AP200+AS200+AV200+AY200</f>
        <v>14</v>
      </c>
      <c r="P200" s="455">
        <v>30</v>
      </c>
      <c r="Q200" s="455">
        <v>0</v>
      </c>
      <c r="R200" s="455">
        <v>0</v>
      </c>
      <c r="S200" s="461" t="s">
        <v>222</v>
      </c>
      <c r="T200" s="455">
        <v>2</v>
      </c>
      <c r="U200" s="455">
        <v>3</v>
      </c>
      <c r="V200" s="526" t="s">
        <v>1783</v>
      </c>
      <c r="W200" s="455">
        <v>2</v>
      </c>
      <c r="X200" s="455">
        <v>6</v>
      </c>
      <c r="Y200" s="455" t="s">
        <v>1784</v>
      </c>
      <c r="Z200" s="455">
        <v>2</v>
      </c>
      <c r="AA200" s="455">
        <v>5</v>
      </c>
      <c r="AB200" s="457" t="s">
        <v>1785</v>
      </c>
      <c r="AC200" s="455">
        <v>3</v>
      </c>
      <c r="AD200" s="455">
        <v>0</v>
      </c>
      <c r="AE200" s="457" t="s">
        <v>1786</v>
      </c>
      <c r="AF200" s="455">
        <v>3</v>
      </c>
      <c r="AG200" s="458">
        <v>0</v>
      </c>
      <c r="AH200" s="523" t="s">
        <v>1787</v>
      </c>
      <c r="AI200" s="455">
        <v>3</v>
      </c>
      <c r="AJ200" s="455"/>
      <c r="AK200" s="455"/>
      <c r="AL200" s="455">
        <v>3</v>
      </c>
      <c r="AM200" s="455"/>
      <c r="AN200" s="455"/>
      <c r="AO200" s="455">
        <v>3</v>
      </c>
      <c r="AP200" s="455"/>
      <c r="AQ200" s="455"/>
      <c r="AR200" s="455">
        <v>3</v>
      </c>
      <c r="AS200" s="455"/>
      <c r="AT200" s="455"/>
      <c r="AU200" s="455">
        <v>3</v>
      </c>
      <c r="AV200" s="455"/>
      <c r="AW200" s="455"/>
      <c r="AX200" s="455">
        <v>3</v>
      </c>
      <c r="AY200" s="453"/>
      <c r="AZ200" s="453"/>
      <c r="BA200" s="453">
        <f t="shared" si="8"/>
        <v>12</v>
      </c>
      <c r="BB200" s="453">
        <f t="shared" si="9"/>
        <v>14</v>
      </c>
      <c r="BC200" s="459">
        <f>+IF(BA200=0,+IF(BB200=0,"No programación, No avance",+IF(BB200&gt;0,+IF(BA200=0,BB200/P200))),BB200/BA200)</f>
        <v>1.1666666666666667</v>
      </c>
    </row>
    <row r="201" spans="1:56" s="2" customFormat="1" ht="96.75" customHeight="1">
      <c r="A201" s="718"/>
      <c r="B201" s="750"/>
      <c r="C201" s="685"/>
      <c r="D201" s="685"/>
      <c r="E201" s="455" t="s">
        <v>1789</v>
      </c>
      <c r="F201" s="455" t="s">
        <v>472</v>
      </c>
      <c r="G201" s="455">
        <v>0.5</v>
      </c>
      <c r="H201" s="455" t="s">
        <v>426</v>
      </c>
      <c r="I201" s="455" t="s">
        <v>73</v>
      </c>
      <c r="J201" s="455" t="s">
        <v>1695</v>
      </c>
      <c r="K201" s="455" t="s">
        <v>127</v>
      </c>
      <c r="L201" s="455" t="s">
        <v>1696</v>
      </c>
      <c r="M201" s="456">
        <v>44197</v>
      </c>
      <c r="N201" s="456">
        <v>44561</v>
      </c>
      <c r="O201" s="455">
        <f>+R201+U201+X201+AA201+AD201+AG201+AJ201+AM201+AP201+AS201+AV201+AY201</f>
        <v>18</v>
      </c>
      <c r="P201" s="455">
        <v>30</v>
      </c>
      <c r="Q201" s="455">
        <v>0</v>
      </c>
      <c r="R201" s="455">
        <v>0</v>
      </c>
      <c r="S201" s="461" t="s">
        <v>222</v>
      </c>
      <c r="T201" s="455">
        <v>2</v>
      </c>
      <c r="U201" s="455">
        <v>3</v>
      </c>
      <c r="V201" s="527" t="s">
        <v>1790</v>
      </c>
      <c r="W201" s="455">
        <v>2</v>
      </c>
      <c r="X201" s="455">
        <v>8</v>
      </c>
      <c r="Y201" s="455" t="s">
        <v>1791</v>
      </c>
      <c r="Z201" s="455">
        <v>2</v>
      </c>
      <c r="AA201" s="455">
        <v>2</v>
      </c>
      <c r="AB201" s="457" t="s">
        <v>1792</v>
      </c>
      <c r="AC201" s="455">
        <v>3</v>
      </c>
      <c r="AD201" s="455">
        <v>1</v>
      </c>
      <c r="AE201" s="457" t="s">
        <v>1793</v>
      </c>
      <c r="AF201" s="455">
        <v>3</v>
      </c>
      <c r="AG201" s="458">
        <v>4</v>
      </c>
      <c r="AH201" s="523" t="s">
        <v>1794</v>
      </c>
      <c r="AI201" s="455">
        <v>3</v>
      </c>
      <c r="AJ201" s="455"/>
      <c r="AK201" s="455"/>
      <c r="AL201" s="455">
        <v>3</v>
      </c>
      <c r="AM201" s="455"/>
      <c r="AN201" s="455"/>
      <c r="AO201" s="455">
        <v>3</v>
      </c>
      <c r="AP201" s="455"/>
      <c r="AQ201" s="455"/>
      <c r="AR201" s="455">
        <v>3</v>
      </c>
      <c r="AS201" s="455"/>
      <c r="AT201" s="455"/>
      <c r="AU201" s="455">
        <v>3</v>
      </c>
      <c r="AV201" s="455"/>
      <c r="AW201" s="455"/>
      <c r="AX201" s="455">
        <v>3</v>
      </c>
      <c r="AY201" s="453"/>
      <c r="AZ201" s="453"/>
      <c r="BA201" s="453">
        <f t="shared" si="8"/>
        <v>12</v>
      </c>
      <c r="BB201" s="453">
        <f t="shared" si="9"/>
        <v>18</v>
      </c>
      <c r="BC201" s="459">
        <f>+IF(BA201=0,+IF(BB201=0,"No programación, No avance",+IF(BB201&gt;0,+IF(BA201=0,BB201/P201))),BB201/BA201)</f>
        <v>1.5</v>
      </c>
    </row>
    <row r="202" spans="1:56" s="2" customFormat="1" ht="96.75" customHeight="1" thickBot="1">
      <c r="A202" s="719"/>
      <c r="B202" s="751"/>
      <c r="C202" s="483" t="s">
        <v>224</v>
      </c>
      <c r="D202" s="483" t="s">
        <v>1796</v>
      </c>
      <c r="E202" s="483" t="s">
        <v>225</v>
      </c>
      <c r="F202" s="483" t="s">
        <v>1694</v>
      </c>
      <c r="G202" s="483">
        <v>1</v>
      </c>
      <c r="H202" s="483" t="s">
        <v>426</v>
      </c>
      <c r="I202" s="483" t="s">
        <v>73</v>
      </c>
      <c r="J202" s="483" t="s">
        <v>1695</v>
      </c>
      <c r="K202" s="483" t="s">
        <v>127</v>
      </c>
      <c r="L202" s="483" t="s">
        <v>1696</v>
      </c>
      <c r="M202" s="484">
        <v>44197</v>
      </c>
      <c r="N202" s="484">
        <v>44561</v>
      </c>
      <c r="O202" s="483">
        <f>+R202+U202+X202+AA202+AD202+AG202+AJ202+AM202+AP202+AS202+AV202+AY202</f>
        <v>0</v>
      </c>
      <c r="P202" s="483">
        <v>3</v>
      </c>
      <c r="Q202" s="483">
        <v>0</v>
      </c>
      <c r="R202" s="483">
        <v>0</v>
      </c>
      <c r="S202" s="528" t="s">
        <v>226</v>
      </c>
      <c r="T202" s="483">
        <v>0</v>
      </c>
      <c r="U202" s="483">
        <v>0</v>
      </c>
      <c r="V202" s="528" t="s">
        <v>227</v>
      </c>
      <c r="W202" s="483">
        <v>0</v>
      </c>
      <c r="X202" s="483">
        <v>0</v>
      </c>
      <c r="Y202" s="483" t="s">
        <v>1797</v>
      </c>
      <c r="Z202" s="483">
        <v>0</v>
      </c>
      <c r="AA202" s="483">
        <v>0</v>
      </c>
      <c r="AB202" s="490" t="s">
        <v>228</v>
      </c>
      <c r="AC202" s="483">
        <v>0</v>
      </c>
      <c r="AD202" s="483">
        <v>0</v>
      </c>
      <c r="AE202" s="490" t="s">
        <v>1798</v>
      </c>
      <c r="AF202" s="483">
        <v>0</v>
      </c>
      <c r="AG202" s="458">
        <v>0</v>
      </c>
      <c r="AH202" s="523" t="s">
        <v>1799</v>
      </c>
      <c r="AI202" s="483">
        <v>0</v>
      </c>
      <c r="AJ202" s="483"/>
      <c r="AK202" s="483"/>
      <c r="AL202" s="483">
        <v>0</v>
      </c>
      <c r="AM202" s="483"/>
      <c r="AN202" s="483"/>
      <c r="AO202" s="483">
        <v>1</v>
      </c>
      <c r="AP202" s="483"/>
      <c r="AQ202" s="483"/>
      <c r="AR202" s="483">
        <v>1</v>
      </c>
      <c r="AS202" s="483"/>
      <c r="AT202" s="483"/>
      <c r="AU202" s="483">
        <v>1</v>
      </c>
      <c r="AV202" s="483"/>
      <c r="AW202" s="483"/>
      <c r="AX202" s="483">
        <v>0</v>
      </c>
      <c r="AY202" s="486"/>
      <c r="AZ202" s="486"/>
      <c r="BA202" s="453">
        <f t="shared" si="8"/>
        <v>0</v>
      </c>
      <c r="BB202" s="453">
        <f t="shared" si="9"/>
        <v>0</v>
      </c>
      <c r="BC202" s="495" t="str">
        <f>+IF(BA202=0,+IF(BB202=0,"No programación, No avance",+IF(BB202&gt;0,+IF(BA202=0,BB202/P202))),BB202/BA202)</f>
        <v>No programación, No avance</v>
      </c>
    </row>
    <row r="203" spans="1:56" s="2" customFormat="1" ht="60" customHeight="1">
      <c r="A203" s="700" t="s">
        <v>28</v>
      </c>
      <c r="B203" s="752">
        <v>41</v>
      </c>
      <c r="C203" s="705" t="s">
        <v>250</v>
      </c>
      <c r="D203" s="705" t="s">
        <v>357</v>
      </c>
      <c r="E203" s="429" t="s">
        <v>1801</v>
      </c>
      <c r="F203" s="429" t="s">
        <v>472</v>
      </c>
      <c r="G203" s="429">
        <v>0.5</v>
      </c>
      <c r="H203" s="429" t="s">
        <v>1802</v>
      </c>
      <c r="I203" s="429" t="s">
        <v>79</v>
      </c>
      <c r="J203" s="429" t="s">
        <v>1803</v>
      </c>
      <c r="K203" s="429" t="s">
        <v>127</v>
      </c>
      <c r="L203" s="429" t="s">
        <v>475</v>
      </c>
      <c r="M203" s="430">
        <v>44197</v>
      </c>
      <c r="N203" s="430">
        <v>44561</v>
      </c>
      <c r="O203" s="429">
        <f>+R203+U203+X203+AA203+AD203+AG203+AJ203+AM203+AP203+AS203+AV203+AY203</f>
        <v>0.4</v>
      </c>
      <c r="P203" s="429">
        <v>1</v>
      </c>
      <c r="Q203" s="429">
        <v>0</v>
      </c>
      <c r="R203" s="429">
        <v>0</v>
      </c>
      <c r="S203" s="429" t="s">
        <v>373</v>
      </c>
      <c r="T203" s="429">
        <v>0</v>
      </c>
      <c r="U203" s="529">
        <v>0</v>
      </c>
      <c r="V203" s="429" t="s">
        <v>1804</v>
      </c>
      <c r="W203" s="429">
        <v>0</v>
      </c>
      <c r="X203" s="530">
        <v>0</v>
      </c>
      <c r="Y203" s="432" t="s">
        <v>1805</v>
      </c>
      <c r="Z203" s="429">
        <v>0.2</v>
      </c>
      <c r="AA203" s="530">
        <v>0.2</v>
      </c>
      <c r="AB203" s="432" t="s">
        <v>1806</v>
      </c>
      <c r="AC203" s="429">
        <v>0</v>
      </c>
      <c r="AD203" s="530">
        <v>0</v>
      </c>
      <c r="AE203" s="432" t="s">
        <v>1807</v>
      </c>
      <c r="AF203" s="429">
        <v>0</v>
      </c>
      <c r="AG203" s="530">
        <v>0.2</v>
      </c>
      <c r="AH203" s="496" t="s">
        <v>1808</v>
      </c>
      <c r="AI203" s="429">
        <v>0</v>
      </c>
      <c r="AJ203" s="429"/>
      <c r="AK203" s="429"/>
      <c r="AL203" s="429">
        <v>0</v>
      </c>
      <c r="AM203" s="429"/>
      <c r="AN203" s="429"/>
      <c r="AO203" s="429">
        <v>0</v>
      </c>
      <c r="AP203" s="429"/>
      <c r="AQ203" s="429"/>
      <c r="AR203" s="429">
        <v>0</v>
      </c>
      <c r="AS203" s="429"/>
      <c r="AT203" s="429"/>
      <c r="AU203" s="429">
        <v>0</v>
      </c>
      <c r="AV203" s="429"/>
      <c r="AW203" s="429"/>
      <c r="AX203" s="530">
        <v>0.8</v>
      </c>
      <c r="AY203" s="431"/>
      <c r="AZ203" s="431"/>
      <c r="BA203" s="435">
        <f t="shared" ref="BA203:BA266" si="10">+Q203+T203+W203+Z203+AC203+AF203</f>
        <v>0.2</v>
      </c>
      <c r="BB203" s="435">
        <f t="shared" ref="BB203:BB266" si="11">+R203+U203+X203+AA203+AD203+AG203</f>
        <v>0.4</v>
      </c>
      <c r="BC203" s="497">
        <f>+IF(BA203=0,+IF(BB203=0,"No programación, No avance",+IF(BB203&gt;0,+IF(BA203=0,BB203/P203))),BB203/BA203)</f>
        <v>2</v>
      </c>
      <c r="BD203" s="2">
        <f>+AVERAGE(BC203:BC204)</f>
        <v>1.21</v>
      </c>
    </row>
    <row r="204" spans="1:56" s="2" customFormat="1" ht="180.75" thickBot="1">
      <c r="A204" s="702"/>
      <c r="B204" s="754"/>
      <c r="C204" s="707"/>
      <c r="D204" s="707"/>
      <c r="E204" s="440" t="s">
        <v>1810</v>
      </c>
      <c r="F204" s="440" t="s">
        <v>472</v>
      </c>
      <c r="G204" s="440">
        <v>0.5</v>
      </c>
      <c r="H204" s="440" t="s">
        <v>1802</v>
      </c>
      <c r="I204" s="440" t="s">
        <v>79</v>
      </c>
      <c r="J204" s="440" t="s">
        <v>1811</v>
      </c>
      <c r="K204" s="440" t="s">
        <v>127</v>
      </c>
      <c r="L204" s="440" t="s">
        <v>475</v>
      </c>
      <c r="M204" s="441">
        <v>44197</v>
      </c>
      <c r="N204" s="441">
        <v>44561</v>
      </c>
      <c r="O204" s="440">
        <f>+R204+U204+X204+AA204+AD204+AG204+AJ204+AM204+AP204+AS204+AV204+AY204</f>
        <v>0.42000000000000004</v>
      </c>
      <c r="P204" s="440">
        <v>1</v>
      </c>
      <c r="Q204" s="440">
        <v>0</v>
      </c>
      <c r="R204" s="440">
        <v>0</v>
      </c>
      <c r="S204" s="440" t="s">
        <v>74</v>
      </c>
      <c r="T204" s="440">
        <v>0</v>
      </c>
      <c r="U204" s="443">
        <v>0</v>
      </c>
      <c r="V204" s="440" t="s">
        <v>1812</v>
      </c>
      <c r="W204" s="440">
        <v>0</v>
      </c>
      <c r="X204" s="443">
        <v>0</v>
      </c>
      <c r="Y204" s="444" t="s">
        <v>1813</v>
      </c>
      <c r="Z204" s="440">
        <v>0</v>
      </c>
      <c r="AA204" s="443">
        <v>0.22</v>
      </c>
      <c r="AB204" s="444" t="s">
        <v>1814</v>
      </c>
      <c r="AC204" s="440">
        <v>0</v>
      </c>
      <c r="AD204" s="443">
        <v>0</v>
      </c>
      <c r="AE204" s="444" t="s">
        <v>1815</v>
      </c>
      <c r="AF204" s="440">
        <v>0</v>
      </c>
      <c r="AG204" s="531">
        <v>0.2</v>
      </c>
      <c r="AH204" s="532" t="s">
        <v>1816</v>
      </c>
      <c r="AI204" s="440">
        <v>0</v>
      </c>
      <c r="AJ204" s="440"/>
      <c r="AK204" s="440"/>
      <c r="AL204" s="440">
        <v>0</v>
      </c>
      <c r="AM204" s="440"/>
      <c r="AN204" s="440"/>
      <c r="AO204" s="440">
        <v>0</v>
      </c>
      <c r="AP204" s="440"/>
      <c r="AQ204" s="440"/>
      <c r="AR204" s="440">
        <v>0</v>
      </c>
      <c r="AS204" s="440"/>
      <c r="AT204" s="440"/>
      <c r="AU204" s="440">
        <v>0</v>
      </c>
      <c r="AV204" s="440"/>
      <c r="AW204" s="440"/>
      <c r="AX204" s="443">
        <v>1</v>
      </c>
      <c r="AY204" s="442"/>
      <c r="AZ204" s="442"/>
      <c r="BA204" s="435">
        <f t="shared" si="10"/>
        <v>0</v>
      </c>
      <c r="BB204" s="435">
        <f t="shared" si="11"/>
        <v>0.42000000000000004</v>
      </c>
      <c r="BC204" s="507">
        <f>+IF(BA204=0,+IF(BB204=0,"No programación, No avance",+IF(BB204&gt;0,+IF(BA204=0,BB204/P204))),BB204/BA204)</f>
        <v>0.42000000000000004</v>
      </c>
    </row>
    <row r="205" spans="1:56" s="2" customFormat="1" ht="53.25" customHeight="1">
      <c r="A205" s="703" t="s">
        <v>21</v>
      </c>
      <c r="B205" s="749">
        <v>27.3</v>
      </c>
      <c r="C205" s="710" t="s">
        <v>253</v>
      </c>
      <c r="D205" s="710" t="s">
        <v>1818</v>
      </c>
      <c r="E205" s="447" t="s">
        <v>1819</v>
      </c>
      <c r="F205" s="447" t="s">
        <v>472</v>
      </c>
      <c r="G205" s="447">
        <v>50</v>
      </c>
      <c r="H205" s="447" t="s">
        <v>254</v>
      </c>
      <c r="I205" s="447" t="s">
        <v>73</v>
      </c>
      <c r="J205" s="447" t="s">
        <v>72</v>
      </c>
      <c r="K205" s="447" t="s">
        <v>1820</v>
      </c>
      <c r="L205" s="447" t="s">
        <v>1821</v>
      </c>
      <c r="M205" s="448">
        <v>44197</v>
      </c>
      <c r="N205" s="448">
        <v>44561</v>
      </c>
      <c r="O205" s="447">
        <f>+R205+U205+X205+AA205+AD205+AG205+AJ205+AM205+AP205+AS205+AV205+AY205</f>
        <v>1</v>
      </c>
      <c r="P205" s="447">
        <v>8</v>
      </c>
      <c r="Q205" s="447">
        <v>0</v>
      </c>
      <c r="R205" s="447">
        <v>0</v>
      </c>
      <c r="S205" s="447" t="s">
        <v>1822</v>
      </c>
      <c r="T205" s="447">
        <v>0</v>
      </c>
      <c r="U205" s="447">
        <v>0</v>
      </c>
      <c r="V205" s="447" t="s">
        <v>1822</v>
      </c>
      <c r="W205" s="447">
        <v>1</v>
      </c>
      <c r="X205" s="447">
        <v>0</v>
      </c>
      <c r="Y205" s="451" t="s">
        <v>1823</v>
      </c>
      <c r="Z205" s="447">
        <v>1</v>
      </c>
      <c r="AA205" s="447">
        <v>1</v>
      </c>
      <c r="AB205" s="451" t="s">
        <v>1824</v>
      </c>
      <c r="AC205" s="447">
        <v>1</v>
      </c>
      <c r="AD205" s="447">
        <v>0</v>
      </c>
      <c r="AE205" s="451" t="s">
        <v>1825</v>
      </c>
      <c r="AF205" s="447">
        <v>0</v>
      </c>
      <c r="AG205" s="405">
        <v>0</v>
      </c>
      <c r="AH205" s="533" t="s">
        <v>1822</v>
      </c>
      <c r="AI205" s="447">
        <v>1</v>
      </c>
      <c r="AJ205" s="447"/>
      <c r="AK205" s="447"/>
      <c r="AL205" s="447">
        <v>1</v>
      </c>
      <c r="AM205" s="447"/>
      <c r="AN205" s="447"/>
      <c r="AO205" s="447">
        <v>1</v>
      </c>
      <c r="AP205" s="447"/>
      <c r="AQ205" s="447"/>
      <c r="AR205" s="447">
        <v>1</v>
      </c>
      <c r="AS205" s="447"/>
      <c r="AT205" s="447"/>
      <c r="AU205" s="447">
        <v>1</v>
      </c>
      <c r="AV205" s="447"/>
      <c r="AW205" s="447"/>
      <c r="AX205" s="447">
        <v>0</v>
      </c>
      <c r="AY205" s="449"/>
      <c r="AZ205" s="449"/>
      <c r="BA205" s="453">
        <f t="shared" si="10"/>
        <v>3</v>
      </c>
      <c r="BB205" s="453">
        <f t="shared" si="11"/>
        <v>1</v>
      </c>
      <c r="BC205" s="454">
        <f>+IF(BA205=0,+IF(BB205=0,"No programación, No avance",+IF(BB205&gt;0,+IF(BA205=0,BB205/P205))),BB205/BA205)</f>
        <v>0.33333333333333331</v>
      </c>
      <c r="BD205" s="2">
        <f>+AVERAGE(BC205:BC211)</f>
        <v>1.5004629629629631</v>
      </c>
    </row>
    <row r="206" spans="1:56" s="2" customFormat="1" ht="53.25" customHeight="1">
      <c r="A206" s="713"/>
      <c r="B206" s="750"/>
      <c r="C206" s="685"/>
      <c r="D206" s="685"/>
      <c r="E206" s="455" t="s">
        <v>1827</v>
      </c>
      <c r="F206" s="455" t="s">
        <v>472</v>
      </c>
      <c r="G206" s="455">
        <v>50</v>
      </c>
      <c r="H206" s="455" t="s">
        <v>254</v>
      </c>
      <c r="I206" s="455" t="s">
        <v>73</v>
      </c>
      <c r="J206" s="455" t="s">
        <v>72</v>
      </c>
      <c r="K206" s="455" t="s">
        <v>1820</v>
      </c>
      <c r="L206" s="455" t="s">
        <v>1821</v>
      </c>
      <c r="M206" s="456">
        <v>44197</v>
      </c>
      <c r="N206" s="456">
        <v>44561</v>
      </c>
      <c r="O206" s="455">
        <f>+R206+U206+X206+AA206+AD206+AG206+AJ206+AM206+AP206+AS206+AV206+AY206</f>
        <v>0</v>
      </c>
      <c r="P206" s="455">
        <v>15</v>
      </c>
      <c r="Q206" s="455">
        <v>0</v>
      </c>
      <c r="R206" s="455">
        <v>0</v>
      </c>
      <c r="S206" s="455" t="s">
        <v>1822</v>
      </c>
      <c r="T206" s="455">
        <v>1</v>
      </c>
      <c r="U206" s="455">
        <v>0</v>
      </c>
      <c r="V206" s="455" t="s">
        <v>1828</v>
      </c>
      <c r="W206" s="455">
        <v>2</v>
      </c>
      <c r="X206" s="455">
        <v>0</v>
      </c>
      <c r="Y206" s="457" t="s">
        <v>1829</v>
      </c>
      <c r="Z206" s="455">
        <v>2</v>
      </c>
      <c r="AA206" s="455">
        <v>0</v>
      </c>
      <c r="AB206" s="457" t="s">
        <v>1830</v>
      </c>
      <c r="AC206" s="455">
        <v>2</v>
      </c>
      <c r="AD206" s="455">
        <v>0</v>
      </c>
      <c r="AE206" s="457" t="s">
        <v>1831</v>
      </c>
      <c r="AF206" s="455">
        <v>0</v>
      </c>
      <c r="AG206" s="534">
        <v>0</v>
      </c>
      <c r="AH206" s="535" t="s">
        <v>1822</v>
      </c>
      <c r="AI206" s="455">
        <v>2</v>
      </c>
      <c r="AJ206" s="455"/>
      <c r="AK206" s="455"/>
      <c r="AL206" s="455">
        <v>2</v>
      </c>
      <c r="AM206" s="455"/>
      <c r="AN206" s="455"/>
      <c r="AO206" s="455">
        <v>2</v>
      </c>
      <c r="AP206" s="455"/>
      <c r="AQ206" s="455"/>
      <c r="AR206" s="455">
        <v>1</v>
      </c>
      <c r="AS206" s="455"/>
      <c r="AT206" s="455"/>
      <c r="AU206" s="455">
        <v>1</v>
      </c>
      <c r="AV206" s="455"/>
      <c r="AW206" s="455"/>
      <c r="AX206" s="455">
        <v>0</v>
      </c>
      <c r="AY206" s="453"/>
      <c r="AZ206" s="453"/>
      <c r="BA206" s="453">
        <f t="shared" si="10"/>
        <v>7</v>
      </c>
      <c r="BB206" s="453">
        <f t="shared" si="11"/>
        <v>0</v>
      </c>
      <c r="BC206" s="459">
        <f>+IF(BA206=0,+IF(BB206=0,"No programación, No avance",+IF(BB206&gt;0,+IF(BA206=0,BB206/P206))),BB206/BA206)</f>
        <v>0</v>
      </c>
    </row>
    <row r="207" spans="1:56" s="2" customFormat="1" ht="72" customHeight="1">
      <c r="A207" s="713"/>
      <c r="B207" s="750"/>
      <c r="C207" s="685" t="s">
        <v>256</v>
      </c>
      <c r="D207" s="685" t="s">
        <v>1833</v>
      </c>
      <c r="E207" s="455" t="s">
        <v>1834</v>
      </c>
      <c r="F207" s="455" t="s">
        <v>472</v>
      </c>
      <c r="G207" s="455">
        <v>0.2</v>
      </c>
      <c r="H207" s="455" t="s">
        <v>254</v>
      </c>
      <c r="I207" s="455" t="s">
        <v>73</v>
      </c>
      <c r="J207" s="455" t="s">
        <v>72</v>
      </c>
      <c r="K207" s="455" t="s">
        <v>1820</v>
      </c>
      <c r="L207" s="455" t="s">
        <v>1821</v>
      </c>
      <c r="M207" s="456">
        <v>44197</v>
      </c>
      <c r="N207" s="456">
        <v>44561</v>
      </c>
      <c r="O207" s="455">
        <f>+R207+U207+X207+AA207+AD207+AG207+AJ207+AM207+AP207+AS207+AV207+AY207</f>
        <v>0.4</v>
      </c>
      <c r="P207" s="455">
        <v>20</v>
      </c>
      <c r="Q207" s="455">
        <v>0</v>
      </c>
      <c r="R207" s="455">
        <v>0</v>
      </c>
      <c r="S207" s="455" t="s">
        <v>1822</v>
      </c>
      <c r="T207" s="455">
        <v>1</v>
      </c>
      <c r="U207" s="455">
        <v>0</v>
      </c>
      <c r="V207" s="455" t="s">
        <v>1822</v>
      </c>
      <c r="W207" s="455">
        <v>2</v>
      </c>
      <c r="X207" s="455">
        <v>0</v>
      </c>
      <c r="Y207" s="457" t="s">
        <v>1835</v>
      </c>
      <c r="Z207" s="455">
        <v>2</v>
      </c>
      <c r="AA207" s="464">
        <v>0.3</v>
      </c>
      <c r="AB207" s="457" t="s">
        <v>1836</v>
      </c>
      <c r="AC207" s="455">
        <v>2</v>
      </c>
      <c r="AD207" s="464">
        <v>0</v>
      </c>
      <c r="AE207" s="457" t="s">
        <v>1837</v>
      </c>
      <c r="AF207" s="455">
        <v>2</v>
      </c>
      <c r="AG207" s="536">
        <v>0.1</v>
      </c>
      <c r="AH207" s="460" t="s">
        <v>1838</v>
      </c>
      <c r="AI207" s="455">
        <v>2</v>
      </c>
      <c r="AJ207" s="455"/>
      <c r="AK207" s="455"/>
      <c r="AL207" s="455">
        <v>2</v>
      </c>
      <c r="AM207" s="455"/>
      <c r="AN207" s="455"/>
      <c r="AO207" s="455">
        <v>2</v>
      </c>
      <c r="AP207" s="455"/>
      <c r="AQ207" s="455"/>
      <c r="AR207" s="455">
        <v>2</v>
      </c>
      <c r="AS207" s="455"/>
      <c r="AT207" s="455"/>
      <c r="AU207" s="455">
        <v>2</v>
      </c>
      <c r="AV207" s="455"/>
      <c r="AW207" s="455"/>
      <c r="AX207" s="455">
        <v>1</v>
      </c>
      <c r="AY207" s="453"/>
      <c r="AZ207" s="453"/>
      <c r="BA207" s="453">
        <f t="shared" si="10"/>
        <v>9</v>
      </c>
      <c r="BB207" s="453">
        <f t="shared" si="11"/>
        <v>0.4</v>
      </c>
      <c r="BC207" s="459">
        <f>+IF(BA207=0,+IF(BB207=0,"No programación, No avance",+IF(BB207&gt;0,+IF(BA207=0,BB207/P207))),BB207/BA207)</f>
        <v>4.4444444444444446E-2</v>
      </c>
    </row>
    <row r="208" spans="1:56" s="2" customFormat="1" ht="120">
      <c r="A208" s="713"/>
      <c r="B208" s="750"/>
      <c r="C208" s="685"/>
      <c r="D208" s="685"/>
      <c r="E208" s="455" t="s">
        <v>1840</v>
      </c>
      <c r="F208" s="455" t="s">
        <v>472</v>
      </c>
      <c r="G208" s="455">
        <v>0.2</v>
      </c>
      <c r="H208" s="455" t="s">
        <v>254</v>
      </c>
      <c r="I208" s="455" t="s">
        <v>73</v>
      </c>
      <c r="J208" s="455" t="s">
        <v>72</v>
      </c>
      <c r="K208" s="455" t="s">
        <v>1820</v>
      </c>
      <c r="L208" s="455" t="s">
        <v>1821</v>
      </c>
      <c r="M208" s="456">
        <v>44197</v>
      </c>
      <c r="N208" s="456">
        <v>44561</v>
      </c>
      <c r="O208" s="455">
        <f>+R208+U208+X208+AA208+AD208+AG208+AJ208+AM208+AP208+AS208+AV208+AY208</f>
        <v>7</v>
      </c>
      <c r="P208" s="455">
        <v>10</v>
      </c>
      <c r="Q208" s="455">
        <v>0</v>
      </c>
      <c r="R208" s="455">
        <v>0</v>
      </c>
      <c r="S208" s="455" t="s">
        <v>1822</v>
      </c>
      <c r="T208" s="455">
        <v>1</v>
      </c>
      <c r="U208" s="455">
        <v>0</v>
      </c>
      <c r="V208" s="455" t="s">
        <v>1841</v>
      </c>
      <c r="W208" s="455">
        <v>0</v>
      </c>
      <c r="X208" s="455">
        <v>0</v>
      </c>
      <c r="Y208" s="457" t="s">
        <v>1842</v>
      </c>
      <c r="Z208" s="455">
        <v>0</v>
      </c>
      <c r="AA208" s="455">
        <v>5</v>
      </c>
      <c r="AB208" s="457" t="s">
        <v>1843</v>
      </c>
      <c r="AC208" s="455">
        <v>0</v>
      </c>
      <c r="AD208" s="455">
        <v>0</v>
      </c>
      <c r="AE208" s="457" t="s">
        <v>1844</v>
      </c>
      <c r="AF208" s="455">
        <v>0</v>
      </c>
      <c r="AG208" s="534">
        <v>2</v>
      </c>
      <c r="AH208" s="460" t="s">
        <v>1845</v>
      </c>
      <c r="AI208" s="455">
        <v>0</v>
      </c>
      <c r="AJ208" s="455"/>
      <c r="AK208" s="455"/>
      <c r="AL208" s="455">
        <v>0</v>
      </c>
      <c r="AM208" s="455"/>
      <c r="AN208" s="455"/>
      <c r="AO208" s="455">
        <v>4</v>
      </c>
      <c r="AP208" s="455"/>
      <c r="AQ208" s="455"/>
      <c r="AR208" s="455">
        <v>3</v>
      </c>
      <c r="AS208" s="455"/>
      <c r="AT208" s="455"/>
      <c r="AU208" s="455">
        <v>9</v>
      </c>
      <c r="AV208" s="455"/>
      <c r="AW208" s="455"/>
      <c r="AX208" s="455">
        <v>2</v>
      </c>
      <c r="AY208" s="453"/>
      <c r="AZ208" s="453"/>
      <c r="BA208" s="453">
        <f t="shared" si="10"/>
        <v>1</v>
      </c>
      <c r="BB208" s="453">
        <f t="shared" si="11"/>
        <v>7</v>
      </c>
      <c r="BC208" s="459">
        <f>+IF(BA208=0,+IF(BB208=0,"No programación, No avance",+IF(BB208&gt;0,+IF(BA208=0,BB208/P208))),BB208/BA208)</f>
        <v>7</v>
      </c>
    </row>
    <row r="209" spans="1:56" s="2" customFormat="1" ht="96">
      <c r="A209" s="713"/>
      <c r="B209" s="750"/>
      <c r="C209" s="685"/>
      <c r="D209" s="685"/>
      <c r="E209" s="455" t="s">
        <v>1847</v>
      </c>
      <c r="F209" s="455" t="s">
        <v>472</v>
      </c>
      <c r="G209" s="455">
        <v>0.2</v>
      </c>
      <c r="H209" s="455" t="s">
        <v>254</v>
      </c>
      <c r="I209" s="455" t="s">
        <v>79</v>
      </c>
      <c r="J209" s="455" t="s">
        <v>72</v>
      </c>
      <c r="K209" s="455" t="s">
        <v>1820</v>
      </c>
      <c r="L209" s="455" t="s">
        <v>1821</v>
      </c>
      <c r="M209" s="456">
        <v>44197</v>
      </c>
      <c r="N209" s="456">
        <v>44561</v>
      </c>
      <c r="O209" s="455">
        <f>+R209+U209+X209+AA209+AD209+AG209+AJ209+AM209+AP209+AS209+AV209+AY209</f>
        <v>0.3</v>
      </c>
      <c r="P209" s="471">
        <v>1</v>
      </c>
      <c r="Q209" s="455">
        <v>0</v>
      </c>
      <c r="R209" s="455">
        <v>0</v>
      </c>
      <c r="S209" s="455" t="s">
        <v>1822</v>
      </c>
      <c r="T209" s="464">
        <v>0</v>
      </c>
      <c r="U209" s="480">
        <v>0</v>
      </c>
      <c r="V209" s="455" t="s">
        <v>1848</v>
      </c>
      <c r="W209" s="464">
        <v>0.1</v>
      </c>
      <c r="X209" s="466">
        <v>0</v>
      </c>
      <c r="Y209" s="457" t="s">
        <v>1849</v>
      </c>
      <c r="Z209" s="464">
        <v>0.1</v>
      </c>
      <c r="AA209" s="466">
        <v>0.3</v>
      </c>
      <c r="AB209" s="457" t="s">
        <v>1850</v>
      </c>
      <c r="AC209" s="464">
        <v>0.1</v>
      </c>
      <c r="AD209" s="482">
        <v>0</v>
      </c>
      <c r="AE209" s="457" t="s">
        <v>1851</v>
      </c>
      <c r="AF209" s="464">
        <v>0.1</v>
      </c>
      <c r="AG209" s="534">
        <v>0</v>
      </c>
      <c r="AH209" s="460" t="s">
        <v>1852</v>
      </c>
      <c r="AI209" s="464">
        <v>0.1</v>
      </c>
      <c r="AJ209" s="455"/>
      <c r="AK209" s="455"/>
      <c r="AL209" s="464">
        <v>0.1</v>
      </c>
      <c r="AM209" s="455"/>
      <c r="AN209" s="455"/>
      <c r="AO209" s="464">
        <v>0.1</v>
      </c>
      <c r="AP209" s="455"/>
      <c r="AQ209" s="455"/>
      <c r="AR209" s="464">
        <v>0.1</v>
      </c>
      <c r="AS209" s="455"/>
      <c r="AT209" s="455"/>
      <c r="AU209" s="464">
        <v>0.1</v>
      </c>
      <c r="AV209" s="455"/>
      <c r="AW209" s="455"/>
      <c r="AX209" s="464">
        <v>0.1</v>
      </c>
      <c r="AY209" s="453"/>
      <c r="AZ209" s="453"/>
      <c r="BA209" s="453">
        <f t="shared" si="10"/>
        <v>0.4</v>
      </c>
      <c r="BB209" s="453">
        <f t="shared" si="11"/>
        <v>0.3</v>
      </c>
      <c r="BC209" s="459">
        <f>+IF(BA209=0,+IF(BB209=0,"No programación, No avance",+IF(BB209&gt;0,+IF(BA209=0,BB209/P209))),BB209/BA209)</f>
        <v>0.74999999999999989</v>
      </c>
    </row>
    <row r="210" spans="1:56" s="2" customFormat="1" ht="108">
      <c r="A210" s="713"/>
      <c r="B210" s="750"/>
      <c r="C210" s="685"/>
      <c r="D210" s="685"/>
      <c r="E210" s="455" t="s">
        <v>1854</v>
      </c>
      <c r="F210" s="455" t="s">
        <v>472</v>
      </c>
      <c r="G210" s="455">
        <v>0.2</v>
      </c>
      <c r="H210" s="455" t="s">
        <v>254</v>
      </c>
      <c r="I210" s="455" t="s">
        <v>79</v>
      </c>
      <c r="J210" s="455" t="s">
        <v>358</v>
      </c>
      <c r="K210" s="455" t="s">
        <v>1820</v>
      </c>
      <c r="L210" s="455" t="s">
        <v>1821</v>
      </c>
      <c r="M210" s="456">
        <v>44197</v>
      </c>
      <c r="N210" s="456">
        <v>44561</v>
      </c>
      <c r="O210" s="455">
        <f>+R210+U210+X210+AA210+AD210+AG210+AJ210+AM210+AP210+AS210+AV210+AY210</f>
        <v>0.35</v>
      </c>
      <c r="P210" s="455">
        <v>1</v>
      </c>
      <c r="Q210" s="455">
        <v>0</v>
      </c>
      <c r="R210" s="455">
        <v>0</v>
      </c>
      <c r="S210" s="455" t="s">
        <v>1822</v>
      </c>
      <c r="T210" s="455">
        <v>0.1</v>
      </c>
      <c r="U210" s="464">
        <v>0</v>
      </c>
      <c r="V210" s="455" t="s">
        <v>1855</v>
      </c>
      <c r="W210" s="464">
        <v>0.1</v>
      </c>
      <c r="X210" s="464">
        <v>0</v>
      </c>
      <c r="Y210" s="457" t="s">
        <v>1856</v>
      </c>
      <c r="Z210" s="455">
        <v>0</v>
      </c>
      <c r="AA210" s="464">
        <v>0.25</v>
      </c>
      <c r="AB210" s="457" t="s">
        <v>1857</v>
      </c>
      <c r="AC210" s="464">
        <v>0.1</v>
      </c>
      <c r="AD210" s="464">
        <v>0</v>
      </c>
      <c r="AE210" s="457" t="s">
        <v>1858</v>
      </c>
      <c r="AF210" s="464">
        <v>0.1</v>
      </c>
      <c r="AG210" s="536">
        <v>0.1</v>
      </c>
      <c r="AH210" s="460" t="s">
        <v>1859</v>
      </c>
      <c r="AI210" s="455">
        <v>0</v>
      </c>
      <c r="AJ210" s="455"/>
      <c r="AK210" s="455"/>
      <c r="AL210" s="464">
        <v>0.1</v>
      </c>
      <c r="AM210" s="455"/>
      <c r="AN210" s="455"/>
      <c r="AO210" s="464">
        <v>0.1</v>
      </c>
      <c r="AP210" s="455"/>
      <c r="AQ210" s="455"/>
      <c r="AR210" s="464">
        <v>0.1</v>
      </c>
      <c r="AS210" s="455"/>
      <c r="AT210" s="455"/>
      <c r="AU210" s="464">
        <v>0.2</v>
      </c>
      <c r="AV210" s="455"/>
      <c r="AW210" s="455"/>
      <c r="AX210" s="464">
        <v>0.1</v>
      </c>
      <c r="AY210" s="453"/>
      <c r="AZ210" s="453"/>
      <c r="BA210" s="453">
        <f t="shared" si="10"/>
        <v>0.4</v>
      </c>
      <c r="BB210" s="453">
        <f t="shared" si="11"/>
        <v>0.35</v>
      </c>
      <c r="BC210" s="459">
        <f>+IF(BA210=0,+IF(BB210=0,"No programación, No avance",+IF(BB210&gt;0,+IF(BA210=0,BB210/P210))),BB210/BA210)</f>
        <v>0.87499999999999989</v>
      </c>
    </row>
    <row r="211" spans="1:56" s="2" customFormat="1" ht="41.25" customHeight="1" thickBot="1">
      <c r="A211" s="704"/>
      <c r="B211" s="751"/>
      <c r="C211" s="699"/>
      <c r="D211" s="699"/>
      <c r="E211" s="483" t="s">
        <v>1861</v>
      </c>
      <c r="F211" s="483" t="s">
        <v>472</v>
      </c>
      <c r="G211" s="483">
        <v>0.2</v>
      </c>
      <c r="H211" s="483"/>
      <c r="I211" s="483" t="s">
        <v>73</v>
      </c>
      <c r="J211" s="483" t="s">
        <v>72</v>
      </c>
      <c r="K211" s="483" t="s">
        <v>1820</v>
      </c>
      <c r="L211" s="483" t="s">
        <v>1821</v>
      </c>
      <c r="M211" s="484">
        <v>44197</v>
      </c>
      <c r="N211" s="484">
        <v>44561</v>
      </c>
      <c r="O211" s="483">
        <f>+R211+U211+X211+AA211+AD211+AG211+AJ211+AM211+AP211+AS211+AV211+AY211</f>
        <v>0</v>
      </c>
      <c r="P211" s="483">
        <v>3</v>
      </c>
      <c r="Q211" s="483">
        <v>0</v>
      </c>
      <c r="R211" s="483">
        <v>0</v>
      </c>
      <c r="S211" s="483" t="s">
        <v>1822</v>
      </c>
      <c r="T211" s="483">
        <v>0</v>
      </c>
      <c r="U211" s="406">
        <v>0</v>
      </c>
      <c r="V211" s="483" t="s">
        <v>1822</v>
      </c>
      <c r="W211" s="483">
        <v>0</v>
      </c>
      <c r="X211" s="483">
        <v>0</v>
      </c>
      <c r="Y211" s="490" t="s">
        <v>1822</v>
      </c>
      <c r="Z211" s="483">
        <v>0</v>
      </c>
      <c r="AA211" s="483">
        <v>0</v>
      </c>
      <c r="AB211" s="490" t="s">
        <v>1822</v>
      </c>
      <c r="AC211" s="483">
        <v>0</v>
      </c>
      <c r="AD211" s="483">
        <v>0</v>
      </c>
      <c r="AE211" s="490" t="s">
        <v>1862</v>
      </c>
      <c r="AF211" s="483">
        <v>0</v>
      </c>
      <c r="AG211" s="534">
        <v>0</v>
      </c>
      <c r="AH211" s="535" t="s">
        <v>1822</v>
      </c>
      <c r="AI211" s="483">
        <v>0</v>
      </c>
      <c r="AJ211" s="483"/>
      <c r="AK211" s="483"/>
      <c r="AL211" s="483">
        <v>0</v>
      </c>
      <c r="AM211" s="483"/>
      <c r="AN211" s="483"/>
      <c r="AO211" s="483">
        <v>0</v>
      </c>
      <c r="AP211" s="483"/>
      <c r="AQ211" s="483"/>
      <c r="AR211" s="483">
        <v>0</v>
      </c>
      <c r="AS211" s="483"/>
      <c r="AT211" s="483"/>
      <c r="AU211" s="483">
        <v>0</v>
      </c>
      <c r="AV211" s="483"/>
      <c r="AW211" s="483"/>
      <c r="AX211" s="483">
        <v>3</v>
      </c>
      <c r="AY211" s="486"/>
      <c r="AZ211" s="486"/>
      <c r="BA211" s="453">
        <f t="shared" si="10"/>
        <v>0</v>
      </c>
      <c r="BB211" s="453">
        <f t="shared" si="11"/>
        <v>0</v>
      </c>
      <c r="BC211" s="495" t="str">
        <f>+IF(BA211=0,+IF(BB211=0,"No programación, No avance",+IF(BB211&gt;0,+IF(BA211=0,BB211/P211))),BB211/BA211)</f>
        <v>No programación, No avance</v>
      </c>
    </row>
    <row r="212" spans="1:56" s="2" customFormat="1" ht="50.25" customHeight="1">
      <c r="A212" s="700" t="s">
        <v>22</v>
      </c>
      <c r="B212" s="714">
        <v>35</v>
      </c>
      <c r="C212" s="429" t="s">
        <v>258</v>
      </c>
      <c r="D212" s="429" t="s">
        <v>1864</v>
      </c>
      <c r="E212" s="429" t="s">
        <v>259</v>
      </c>
      <c r="F212" s="429" t="s">
        <v>472</v>
      </c>
      <c r="G212" s="429">
        <v>1</v>
      </c>
      <c r="H212" s="429" t="s">
        <v>1865</v>
      </c>
      <c r="I212" s="429" t="s">
        <v>79</v>
      </c>
      <c r="J212" s="429" t="s">
        <v>358</v>
      </c>
      <c r="K212" s="429" t="s">
        <v>1866</v>
      </c>
      <c r="L212" s="429" t="s">
        <v>1867</v>
      </c>
      <c r="M212" s="430">
        <v>44197</v>
      </c>
      <c r="N212" s="430">
        <v>44561</v>
      </c>
      <c r="O212" s="429">
        <f>+R212+U212+X212+AA212+AD212+AG212+AJ212+AM212+AP212+AS212+AV212+AY212</f>
        <v>0.7</v>
      </c>
      <c r="P212" s="429">
        <v>1</v>
      </c>
      <c r="Q212" s="429">
        <v>0</v>
      </c>
      <c r="R212" s="429">
        <v>0</v>
      </c>
      <c r="S212" s="537" t="s">
        <v>1868</v>
      </c>
      <c r="T212" s="429">
        <v>0.15</v>
      </c>
      <c r="U212" s="529">
        <v>0.15</v>
      </c>
      <c r="V212" s="537" t="s">
        <v>1869</v>
      </c>
      <c r="W212" s="429">
        <v>0.15</v>
      </c>
      <c r="X212" s="529">
        <v>0.15</v>
      </c>
      <c r="Y212" s="432" t="s">
        <v>1870</v>
      </c>
      <c r="Z212" s="429">
        <v>0.2</v>
      </c>
      <c r="AA212" s="529">
        <v>0.2</v>
      </c>
      <c r="AB212" s="432" t="s">
        <v>260</v>
      </c>
      <c r="AC212" s="429">
        <v>0.2</v>
      </c>
      <c r="AD212" s="538">
        <v>0.2</v>
      </c>
      <c r="AE212" s="432" t="s">
        <v>1871</v>
      </c>
      <c r="AF212" s="429">
        <v>0.15</v>
      </c>
      <c r="AG212" s="429">
        <v>0</v>
      </c>
      <c r="AH212" s="429"/>
      <c r="AI212" s="429">
        <v>0.15</v>
      </c>
      <c r="AJ212" s="429"/>
      <c r="AK212" s="429"/>
      <c r="AL212" s="429">
        <v>0</v>
      </c>
      <c r="AM212" s="429"/>
      <c r="AN212" s="429"/>
      <c r="AO212" s="429">
        <v>0</v>
      </c>
      <c r="AP212" s="429"/>
      <c r="AQ212" s="429"/>
      <c r="AR212" s="429">
        <v>0</v>
      </c>
      <c r="AS212" s="429"/>
      <c r="AT212" s="429"/>
      <c r="AU212" s="429">
        <v>0</v>
      </c>
      <c r="AV212" s="429"/>
      <c r="AW212" s="429"/>
      <c r="AX212" s="429">
        <v>0</v>
      </c>
      <c r="AY212" s="431"/>
      <c r="AZ212" s="431"/>
      <c r="BA212" s="435">
        <f t="shared" si="10"/>
        <v>0.85</v>
      </c>
      <c r="BB212" s="435">
        <f t="shared" si="11"/>
        <v>0.7</v>
      </c>
      <c r="BC212" s="497">
        <f>+IF(BA212=0,+IF(BB212=0,"No programación, No avance",+IF(BB212&gt;0,+IF(BA212=0,BB212/P212))),BB212/BA212)</f>
        <v>0.82352941176470584</v>
      </c>
      <c r="BD212" s="2">
        <f>+AVERAGE(BC212:BC213)</f>
        <v>0.82352941176470584</v>
      </c>
    </row>
    <row r="213" spans="1:56" s="2" customFormat="1" ht="50.25" customHeight="1" thickBot="1">
      <c r="A213" s="702"/>
      <c r="B213" s="716"/>
      <c r="C213" s="440" t="s">
        <v>262</v>
      </c>
      <c r="D213" s="440" t="s">
        <v>1873</v>
      </c>
      <c r="E213" s="440" t="s">
        <v>1874</v>
      </c>
      <c r="F213" s="440" t="s">
        <v>472</v>
      </c>
      <c r="G213" s="440">
        <v>1</v>
      </c>
      <c r="H213" s="440" t="s">
        <v>1865</v>
      </c>
      <c r="I213" s="440" t="s">
        <v>79</v>
      </c>
      <c r="J213" s="440" t="s">
        <v>358</v>
      </c>
      <c r="K213" s="440" t="s">
        <v>1866</v>
      </c>
      <c r="L213" s="440" t="s">
        <v>1875</v>
      </c>
      <c r="M213" s="441">
        <v>44197</v>
      </c>
      <c r="N213" s="441">
        <v>44561</v>
      </c>
      <c r="O213" s="440">
        <f>+R213+U213+X213+AA213+AD213+AG213+AJ213+AM213+AP213+AS213+AV213+AY213</f>
        <v>0</v>
      </c>
      <c r="P213" s="440">
        <v>1</v>
      </c>
      <c r="Q213" s="440">
        <v>0</v>
      </c>
      <c r="R213" s="440">
        <v>0</v>
      </c>
      <c r="S213" s="539" t="s">
        <v>263</v>
      </c>
      <c r="T213" s="440">
        <v>0</v>
      </c>
      <c r="U213" s="445">
        <v>0</v>
      </c>
      <c r="V213" s="440" t="s">
        <v>263</v>
      </c>
      <c r="W213" s="440">
        <v>0</v>
      </c>
      <c r="X213" s="445">
        <v>0</v>
      </c>
      <c r="Y213" s="444" t="s">
        <v>263</v>
      </c>
      <c r="Z213" s="440">
        <v>0</v>
      </c>
      <c r="AA213" s="445">
        <v>0</v>
      </c>
      <c r="AB213" s="444" t="s">
        <v>263</v>
      </c>
      <c r="AC213" s="440">
        <v>0</v>
      </c>
      <c r="AD213" s="446">
        <v>0</v>
      </c>
      <c r="AE213" s="444" t="s">
        <v>263</v>
      </c>
      <c r="AF213" s="440">
        <v>0</v>
      </c>
      <c r="AG213" s="440">
        <v>0</v>
      </c>
      <c r="AH213" s="440"/>
      <c r="AI213" s="440">
        <v>0</v>
      </c>
      <c r="AJ213" s="440"/>
      <c r="AK213" s="440"/>
      <c r="AL213" s="440">
        <v>0.1</v>
      </c>
      <c r="AM213" s="440"/>
      <c r="AN213" s="440"/>
      <c r="AO213" s="440">
        <v>0.25</v>
      </c>
      <c r="AP213" s="440"/>
      <c r="AQ213" s="440"/>
      <c r="AR213" s="440">
        <v>0.25</v>
      </c>
      <c r="AS213" s="440"/>
      <c r="AT213" s="440"/>
      <c r="AU213" s="440">
        <v>0.4</v>
      </c>
      <c r="AV213" s="440"/>
      <c r="AW213" s="440"/>
      <c r="AX213" s="440">
        <v>0</v>
      </c>
      <c r="AY213" s="442"/>
      <c r="AZ213" s="442"/>
      <c r="BA213" s="435">
        <f t="shared" si="10"/>
        <v>0</v>
      </c>
      <c r="BB213" s="435">
        <f t="shared" si="11"/>
        <v>0</v>
      </c>
      <c r="BC213" s="507" t="str">
        <f>+IF(BA213=0,+IF(BB213=0,"No programación, No avance",+IF(BB213&gt;0,+IF(BA213=0,BB213/P213))),BB213/BA213)</f>
        <v>No programación, No avance</v>
      </c>
    </row>
    <row r="214" spans="1:56" s="2" customFormat="1" ht="36" customHeight="1">
      <c r="A214" s="703" t="s">
        <v>23</v>
      </c>
      <c r="B214" s="749">
        <v>11.1</v>
      </c>
      <c r="C214" s="710" t="s">
        <v>265</v>
      </c>
      <c r="D214" s="710" t="s">
        <v>266</v>
      </c>
      <c r="E214" s="447" t="s">
        <v>1877</v>
      </c>
      <c r="F214" s="447" t="s">
        <v>1878</v>
      </c>
      <c r="G214" s="447">
        <v>0.11</v>
      </c>
      <c r="H214" s="447" t="s">
        <v>1879</v>
      </c>
      <c r="I214" s="447" t="s">
        <v>73</v>
      </c>
      <c r="J214" s="447" t="s">
        <v>127</v>
      </c>
      <c r="K214" s="447" t="s">
        <v>426</v>
      </c>
      <c r="L214" s="447" t="s">
        <v>426</v>
      </c>
      <c r="M214" s="448">
        <v>44197</v>
      </c>
      <c r="N214" s="448">
        <v>44561</v>
      </c>
      <c r="O214" s="447">
        <f>+R214+U214+X214+AA214+AD214+AG214+AJ214+AM214+AP214+AS214+AV214+AY214</f>
        <v>0</v>
      </c>
      <c r="P214" s="447">
        <v>1</v>
      </c>
      <c r="Q214" s="447">
        <v>0</v>
      </c>
      <c r="R214" s="447">
        <v>0</v>
      </c>
      <c r="S214" s="447" t="s">
        <v>267</v>
      </c>
      <c r="T214" s="447">
        <v>0</v>
      </c>
      <c r="U214" s="447">
        <v>0</v>
      </c>
      <c r="V214" s="447" t="s">
        <v>267</v>
      </c>
      <c r="W214" s="447">
        <v>0</v>
      </c>
      <c r="X214" s="447">
        <v>0</v>
      </c>
      <c r="Y214" s="451" t="s">
        <v>267</v>
      </c>
      <c r="Z214" s="447">
        <v>0</v>
      </c>
      <c r="AA214" s="447">
        <v>0</v>
      </c>
      <c r="AB214" s="451" t="s">
        <v>267</v>
      </c>
      <c r="AC214" s="447">
        <v>0</v>
      </c>
      <c r="AD214" s="447">
        <v>0</v>
      </c>
      <c r="AE214" s="451" t="s">
        <v>267</v>
      </c>
      <c r="AF214" s="447">
        <v>0</v>
      </c>
      <c r="AG214" s="447">
        <v>0</v>
      </c>
      <c r="AH214" s="540" t="s">
        <v>267</v>
      </c>
      <c r="AI214" s="447">
        <v>1</v>
      </c>
      <c r="AJ214" s="447"/>
      <c r="AK214" s="447"/>
      <c r="AL214" s="447">
        <v>0</v>
      </c>
      <c r="AM214" s="447"/>
      <c r="AN214" s="447"/>
      <c r="AO214" s="447">
        <v>0</v>
      </c>
      <c r="AP214" s="447"/>
      <c r="AQ214" s="447"/>
      <c r="AR214" s="447">
        <v>0</v>
      </c>
      <c r="AS214" s="447"/>
      <c r="AT214" s="447"/>
      <c r="AU214" s="447">
        <v>0</v>
      </c>
      <c r="AV214" s="447"/>
      <c r="AW214" s="447"/>
      <c r="AX214" s="447">
        <v>0</v>
      </c>
      <c r="AY214" s="449"/>
      <c r="AZ214" s="449"/>
      <c r="BA214" s="453">
        <f t="shared" si="10"/>
        <v>0</v>
      </c>
      <c r="BB214" s="453">
        <f t="shared" si="11"/>
        <v>0</v>
      </c>
      <c r="BC214" s="454" t="str">
        <f>+IF(BA214=0,+IF(BB214=0,"No programación, No avance",+IF(BB214&gt;0,+IF(BA214=0,BB214/P214))),BB214/BA214)</f>
        <v>No programación, No avance</v>
      </c>
      <c r="BD214" s="2">
        <f>+AVERAGE(BC214:BC222)</f>
        <v>1</v>
      </c>
    </row>
    <row r="215" spans="1:56" s="2" customFormat="1" ht="48">
      <c r="A215" s="713"/>
      <c r="B215" s="750"/>
      <c r="C215" s="685"/>
      <c r="D215" s="685"/>
      <c r="E215" s="455" t="s">
        <v>1881</v>
      </c>
      <c r="F215" s="455" t="s">
        <v>1878</v>
      </c>
      <c r="G215" s="455">
        <v>0.11</v>
      </c>
      <c r="H215" s="455" t="s">
        <v>1879</v>
      </c>
      <c r="I215" s="455" t="s">
        <v>73</v>
      </c>
      <c r="J215" s="455" t="s">
        <v>127</v>
      </c>
      <c r="K215" s="455" t="s">
        <v>426</v>
      </c>
      <c r="L215" s="455" t="s">
        <v>426</v>
      </c>
      <c r="M215" s="456">
        <v>44197</v>
      </c>
      <c r="N215" s="456">
        <v>44561</v>
      </c>
      <c r="O215" s="455">
        <f>+R215+U215+X215+AA215+AD215+AG215+AJ215+AM215+AP215+AS215+AV215+AY215</f>
        <v>0</v>
      </c>
      <c r="P215" s="455">
        <v>1</v>
      </c>
      <c r="Q215" s="455">
        <v>0</v>
      </c>
      <c r="R215" s="455">
        <v>0</v>
      </c>
      <c r="S215" s="455" t="s">
        <v>267</v>
      </c>
      <c r="T215" s="455">
        <v>0</v>
      </c>
      <c r="U215" s="455">
        <v>0</v>
      </c>
      <c r="V215" s="455" t="s">
        <v>267</v>
      </c>
      <c r="W215" s="455">
        <v>0</v>
      </c>
      <c r="X215" s="455">
        <v>0</v>
      </c>
      <c r="Y215" s="457" t="s">
        <v>267</v>
      </c>
      <c r="Z215" s="455">
        <v>0</v>
      </c>
      <c r="AA215" s="455">
        <v>0</v>
      </c>
      <c r="AB215" s="457" t="s">
        <v>267</v>
      </c>
      <c r="AC215" s="455">
        <v>0</v>
      </c>
      <c r="AD215" s="455">
        <v>0</v>
      </c>
      <c r="AE215" s="457" t="s">
        <v>267</v>
      </c>
      <c r="AF215" s="455">
        <v>0</v>
      </c>
      <c r="AG215" s="458">
        <v>0</v>
      </c>
      <c r="AH215" s="460" t="s">
        <v>267</v>
      </c>
      <c r="AI215" s="455">
        <v>1</v>
      </c>
      <c r="AJ215" s="455"/>
      <c r="AK215" s="455"/>
      <c r="AL215" s="455">
        <v>0</v>
      </c>
      <c r="AM215" s="455"/>
      <c r="AN215" s="455"/>
      <c r="AO215" s="455">
        <v>0</v>
      </c>
      <c r="AP215" s="455"/>
      <c r="AQ215" s="455"/>
      <c r="AR215" s="455">
        <v>0</v>
      </c>
      <c r="AS215" s="455"/>
      <c r="AT215" s="455"/>
      <c r="AU215" s="455">
        <v>0</v>
      </c>
      <c r="AV215" s="455"/>
      <c r="AW215" s="455"/>
      <c r="AX215" s="455">
        <v>0</v>
      </c>
      <c r="AY215" s="453"/>
      <c r="AZ215" s="453"/>
      <c r="BA215" s="453">
        <f t="shared" si="10"/>
        <v>0</v>
      </c>
      <c r="BB215" s="453">
        <f t="shared" si="11"/>
        <v>0</v>
      </c>
      <c r="BC215" s="459" t="str">
        <f>+IF(BA215=0,+IF(BB215=0,"No programación, No avance",+IF(BB215&gt;0,+IF(BA215=0,BB215/P215))),BB215/BA215)</f>
        <v>No programación, No avance</v>
      </c>
    </row>
    <row r="216" spans="1:56" s="2" customFormat="1" ht="48">
      <c r="A216" s="713"/>
      <c r="B216" s="750"/>
      <c r="C216" s="685"/>
      <c r="D216" s="685"/>
      <c r="E216" s="455" t="s">
        <v>1883</v>
      </c>
      <c r="F216" s="455" t="s">
        <v>1878</v>
      </c>
      <c r="G216" s="455">
        <v>0.11</v>
      </c>
      <c r="H216" s="455" t="s">
        <v>1879</v>
      </c>
      <c r="I216" s="455" t="s">
        <v>73</v>
      </c>
      <c r="J216" s="455" t="s">
        <v>127</v>
      </c>
      <c r="K216" s="455" t="s">
        <v>426</v>
      </c>
      <c r="L216" s="455" t="s">
        <v>426</v>
      </c>
      <c r="M216" s="456">
        <v>44197</v>
      </c>
      <c r="N216" s="456">
        <v>44561</v>
      </c>
      <c r="O216" s="455">
        <f>+R216+U216+X216+AA216+AD216+AG216+AJ216+AM216+AP216+AS216+AV216+AY216</f>
        <v>0</v>
      </c>
      <c r="P216" s="455">
        <v>1</v>
      </c>
      <c r="Q216" s="455">
        <v>0</v>
      </c>
      <c r="R216" s="455">
        <v>0</v>
      </c>
      <c r="S216" s="455" t="s">
        <v>267</v>
      </c>
      <c r="T216" s="455">
        <v>0</v>
      </c>
      <c r="U216" s="455">
        <v>0</v>
      </c>
      <c r="V216" s="455" t="s">
        <v>267</v>
      </c>
      <c r="W216" s="455">
        <v>0</v>
      </c>
      <c r="X216" s="455">
        <v>0</v>
      </c>
      <c r="Y216" s="457" t="s">
        <v>267</v>
      </c>
      <c r="Z216" s="455">
        <v>0</v>
      </c>
      <c r="AA216" s="455">
        <v>0</v>
      </c>
      <c r="AB216" s="457" t="s">
        <v>267</v>
      </c>
      <c r="AC216" s="455">
        <v>0</v>
      </c>
      <c r="AD216" s="455">
        <v>0</v>
      </c>
      <c r="AE216" s="457" t="s">
        <v>267</v>
      </c>
      <c r="AF216" s="455">
        <v>0</v>
      </c>
      <c r="AG216" s="458">
        <v>0</v>
      </c>
      <c r="AH216" s="460" t="s">
        <v>267</v>
      </c>
      <c r="AI216" s="455">
        <v>1</v>
      </c>
      <c r="AJ216" s="455"/>
      <c r="AK216" s="455"/>
      <c r="AL216" s="455">
        <v>0</v>
      </c>
      <c r="AM216" s="455"/>
      <c r="AN216" s="455"/>
      <c r="AO216" s="455">
        <v>0</v>
      </c>
      <c r="AP216" s="455"/>
      <c r="AQ216" s="455"/>
      <c r="AR216" s="455">
        <v>0</v>
      </c>
      <c r="AS216" s="455"/>
      <c r="AT216" s="455"/>
      <c r="AU216" s="455">
        <v>0</v>
      </c>
      <c r="AV216" s="455"/>
      <c r="AW216" s="455"/>
      <c r="AX216" s="455">
        <v>0</v>
      </c>
      <c r="AY216" s="453"/>
      <c r="AZ216" s="453"/>
      <c r="BA216" s="453">
        <f t="shared" si="10"/>
        <v>0</v>
      </c>
      <c r="BB216" s="453">
        <f t="shared" si="11"/>
        <v>0</v>
      </c>
      <c r="BC216" s="459" t="str">
        <f>+IF(BA216=0,+IF(BB216=0,"No programación, No avance",+IF(BB216&gt;0,+IF(BA216=0,BB216/P216))),BB216/BA216)</f>
        <v>No programación, No avance</v>
      </c>
    </row>
    <row r="217" spans="1:56" s="2" customFormat="1" ht="120">
      <c r="A217" s="713"/>
      <c r="B217" s="750"/>
      <c r="C217" s="685"/>
      <c r="D217" s="685"/>
      <c r="E217" s="455" t="s">
        <v>1885</v>
      </c>
      <c r="F217" s="455" t="s">
        <v>1878</v>
      </c>
      <c r="G217" s="455">
        <v>0.11</v>
      </c>
      <c r="H217" s="455" t="s">
        <v>1879</v>
      </c>
      <c r="I217" s="455" t="s">
        <v>73</v>
      </c>
      <c r="J217" s="455" t="s">
        <v>127</v>
      </c>
      <c r="K217" s="455" t="s">
        <v>426</v>
      </c>
      <c r="L217" s="455" t="s">
        <v>426</v>
      </c>
      <c r="M217" s="456">
        <v>44197</v>
      </c>
      <c r="N217" s="456">
        <v>44561</v>
      </c>
      <c r="O217" s="455">
        <f>+R217+U217+X217+AA217+AD217+AG217+AJ217+AM217+AP217+AS217+AV217+AY217</f>
        <v>1</v>
      </c>
      <c r="P217" s="455">
        <v>1</v>
      </c>
      <c r="Q217" s="455">
        <v>0</v>
      </c>
      <c r="R217" s="455">
        <v>0</v>
      </c>
      <c r="S217" s="455" t="s">
        <v>267</v>
      </c>
      <c r="T217" s="455">
        <v>0</v>
      </c>
      <c r="U217" s="455">
        <v>0</v>
      </c>
      <c r="V217" s="455" t="s">
        <v>267</v>
      </c>
      <c r="W217" s="455">
        <v>0</v>
      </c>
      <c r="X217" s="455">
        <v>0</v>
      </c>
      <c r="Y217" s="457" t="s">
        <v>267</v>
      </c>
      <c r="Z217" s="455">
        <v>0</v>
      </c>
      <c r="AA217" s="455">
        <v>0</v>
      </c>
      <c r="AB217" s="457" t="s">
        <v>267</v>
      </c>
      <c r="AC217" s="455">
        <v>0</v>
      </c>
      <c r="AD217" s="455">
        <v>0</v>
      </c>
      <c r="AE217" s="457" t="s">
        <v>267</v>
      </c>
      <c r="AF217" s="455">
        <v>0</v>
      </c>
      <c r="AG217" s="458">
        <v>1</v>
      </c>
      <c r="AH217" s="460" t="s">
        <v>1886</v>
      </c>
      <c r="AI217" s="455">
        <v>1</v>
      </c>
      <c r="AJ217" s="455"/>
      <c r="AK217" s="455"/>
      <c r="AL217" s="455">
        <v>0</v>
      </c>
      <c r="AM217" s="455"/>
      <c r="AN217" s="455"/>
      <c r="AO217" s="455">
        <v>0</v>
      </c>
      <c r="AP217" s="455"/>
      <c r="AQ217" s="455"/>
      <c r="AR217" s="455">
        <v>0</v>
      </c>
      <c r="AS217" s="455"/>
      <c r="AT217" s="455"/>
      <c r="AU217" s="455">
        <v>0</v>
      </c>
      <c r="AV217" s="455"/>
      <c r="AW217" s="455"/>
      <c r="AX217" s="455">
        <v>0</v>
      </c>
      <c r="AY217" s="453"/>
      <c r="AZ217" s="453"/>
      <c r="BA217" s="453">
        <f t="shared" si="10"/>
        <v>0</v>
      </c>
      <c r="BB217" s="453">
        <f t="shared" si="11"/>
        <v>1</v>
      </c>
      <c r="BC217" s="459">
        <f>+IF(BA217=0,+IF(BB217=0,"No programación, No avance",+IF(BB217&gt;0,+IF(BA217=0,BB217/P217))),BB217/BA217)</f>
        <v>1</v>
      </c>
    </row>
    <row r="218" spans="1:56" s="2" customFormat="1" ht="60">
      <c r="A218" s="713"/>
      <c r="B218" s="750"/>
      <c r="C218" s="685"/>
      <c r="D218" s="685"/>
      <c r="E218" s="455" t="s">
        <v>1888</v>
      </c>
      <c r="F218" s="455" t="s">
        <v>1878</v>
      </c>
      <c r="G218" s="455">
        <v>0.11</v>
      </c>
      <c r="H218" s="455" t="s">
        <v>1879</v>
      </c>
      <c r="I218" s="455" t="s">
        <v>73</v>
      </c>
      <c r="J218" s="455" t="s">
        <v>127</v>
      </c>
      <c r="K218" s="455" t="s">
        <v>426</v>
      </c>
      <c r="L218" s="455" t="s">
        <v>426</v>
      </c>
      <c r="M218" s="456">
        <v>44197</v>
      </c>
      <c r="N218" s="456">
        <v>44561</v>
      </c>
      <c r="O218" s="455">
        <f>+R218+U218+X218+AA218+AD218+AG218+AJ218+AM218+AP218+AS218+AV218+AY218</f>
        <v>0</v>
      </c>
      <c r="P218" s="455">
        <v>1</v>
      </c>
      <c r="Q218" s="455">
        <v>0</v>
      </c>
      <c r="R218" s="455">
        <v>0</v>
      </c>
      <c r="S218" s="455" t="s">
        <v>267</v>
      </c>
      <c r="T218" s="455">
        <v>0</v>
      </c>
      <c r="U218" s="455">
        <v>0</v>
      </c>
      <c r="V218" s="455" t="s">
        <v>267</v>
      </c>
      <c r="W218" s="455">
        <v>0</v>
      </c>
      <c r="X218" s="455">
        <v>0</v>
      </c>
      <c r="Y218" s="457" t="s">
        <v>267</v>
      </c>
      <c r="Z218" s="455">
        <v>0</v>
      </c>
      <c r="AA218" s="455">
        <v>0</v>
      </c>
      <c r="AB218" s="457" t="s">
        <v>267</v>
      </c>
      <c r="AC218" s="455">
        <v>0</v>
      </c>
      <c r="AD218" s="455">
        <v>0</v>
      </c>
      <c r="AE218" s="457" t="s">
        <v>267</v>
      </c>
      <c r="AF218" s="455">
        <v>0</v>
      </c>
      <c r="AG218" s="458">
        <v>0</v>
      </c>
      <c r="AH218" s="460" t="s">
        <v>267</v>
      </c>
      <c r="AI218" s="455">
        <v>1</v>
      </c>
      <c r="AJ218" s="455"/>
      <c r="AK218" s="455"/>
      <c r="AL218" s="455">
        <v>0</v>
      </c>
      <c r="AM218" s="455"/>
      <c r="AN218" s="455"/>
      <c r="AO218" s="455">
        <v>0</v>
      </c>
      <c r="AP218" s="455"/>
      <c r="AQ218" s="455"/>
      <c r="AR218" s="455">
        <v>0</v>
      </c>
      <c r="AS218" s="455"/>
      <c r="AT218" s="455"/>
      <c r="AU218" s="455">
        <v>0</v>
      </c>
      <c r="AV218" s="455"/>
      <c r="AW218" s="455"/>
      <c r="AX218" s="455">
        <v>0</v>
      </c>
      <c r="AY218" s="453"/>
      <c r="AZ218" s="453"/>
      <c r="BA218" s="453">
        <f t="shared" si="10"/>
        <v>0</v>
      </c>
      <c r="BB218" s="453">
        <f t="shared" si="11"/>
        <v>0</v>
      </c>
      <c r="BC218" s="459" t="str">
        <f>+IF(BA218=0,+IF(BB218=0,"No programación, No avance",+IF(BB218&gt;0,+IF(BA218=0,BB218/P218))),BB218/BA218)</f>
        <v>No programación, No avance</v>
      </c>
    </row>
    <row r="219" spans="1:56" s="2" customFormat="1" ht="72">
      <c r="A219" s="713"/>
      <c r="B219" s="750"/>
      <c r="C219" s="685"/>
      <c r="D219" s="685"/>
      <c r="E219" s="455" t="s">
        <v>1890</v>
      </c>
      <c r="F219" s="455" t="s">
        <v>1878</v>
      </c>
      <c r="G219" s="455">
        <v>0.11</v>
      </c>
      <c r="H219" s="455" t="s">
        <v>1879</v>
      </c>
      <c r="I219" s="455" t="s">
        <v>73</v>
      </c>
      <c r="J219" s="455" t="s">
        <v>127</v>
      </c>
      <c r="K219" s="455" t="s">
        <v>426</v>
      </c>
      <c r="L219" s="455" t="s">
        <v>426</v>
      </c>
      <c r="M219" s="456">
        <v>44197</v>
      </c>
      <c r="N219" s="456">
        <v>44561</v>
      </c>
      <c r="O219" s="455">
        <f>+R219+U219+X219+AA219+AD219+AG219+AJ219+AM219+AP219+AS219+AV219+AY219</f>
        <v>0</v>
      </c>
      <c r="P219" s="455">
        <v>1</v>
      </c>
      <c r="Q219" s="455">
        <v>0</v>
      </c>
      <c r="R219" s="455">
        <v>0</v>
      </c>
      <c r="S219" s="455" t="s">
        <v>267</v>
      </c>
      <c r="T219" s="455">
        <v>0</v>
      </c>
      <c r="U219" s="455">
        <v>0</v>
      </c>
      <c r="V219" s="455" t="s">
        <v>267</v>
      </c>
      <c r="W219" s="455">
        <v>0</v>
      </c>
      <c r="X219" s="455">
        <v>0</v>
      </c>
      <c r="Y219" s="457" t="s">
        <v>267</v>
      </c>
      <c r="Z219" s="455">
        <v>0</v>
      </c>
      <c r="AA219" s="455">
        <v>0</v>
      </c>
      <c r="AB219" s="457" t="s">
        <v>267</v>
      </c>
      <c r="AC219" s="455">
        <v>0</v>
      </c>
      <c r="AD219" s="455">
        <v>0</v>
      </c>
      <c r="AE219" s="457" t="s">
        <v>267</v>
      </c>
      <c r="AF219" s="455">
        <v>0</v>
      </c>
      <c r="AG219" s="458">
        <v>0</v>
      </c>
      <c r="AH219" s="460" t="s">
        <v>267</v>
      </c>
      <c r="AI219" s="455">
        <v>1</v>
      </c>
      <c r="AJ219" s="455"/>
      <c r="AK219" s="455"/>
      <c r="AL219" s="455">
        <v>0</v>
      </c>
      <c r="AM219" s="455"/>
      <c r="AN219" s="455"/>
      <c r="AO219" s="455">
        <v>0</v>
      </c>
      <c r="AP219" s="455"/>
      <c r="AQ219" s="455"/>
      <c r="AR219" s="455">
        <v>0</v>
      </c>
      <c r="AS219" s="455"/>
      <c r="AT219" s="455"/>
      <c r="AU219" s="455">
        <v>0</v>
      </c>
      <c r="AV219" s="455"/>
      <c r="AW219" s="455"/>
      <c r="AX219" s="455">
        <v>0</v>
      </c>
      <c r="AY219" s="453"/>
      <c r="AZ219" s="453"/>
      <c r="BA219" s="453">
        <f t="shared" si="10"/>
        <v>0</v>
      </c>
      <c r="BB219" s="453">
        <f t="shared" si="11"/>
        <v>0</v>
      </c>
      <c r="BC219" s="459" t="str">
        <f>+IF(BA219=0,+IF(BB219=0,"No programación, No avance",+IF(BB219&gt;0,+IF(BA219=0,BB219/P219))),BB219/BA219)</f>
        <v>No programación, No avance</v>
      </c>
    </row>
    <row r="220" spans="1:56" s="2" customFormat="1" ht="60">
      <c r="A220" s="713"/>
      <c r="B220" s="750"/>
      <c r="C220" s="685"/>
      <c r="D220" s="685"/>
      <c r="E220" s="455" t="s">
        <v>1892</v>
      </c>
      <c r="F220" s="455" t="s">
        <v>1878</v>
      </c>
      <c r="G220" s="455">
        <v>0.11</v>
      </c>
      <c r="H220" s="455" t="s">
        <v>1879</v>
      </c>
      <c r="I220" s="455" t="s">
        <v>73</v>
      </c>
      <c r="J220" s="455" t="s">
        <v>127</v>
      </c>
      <c r="K220" s="455" t="s">
        <v>426</v>
      </c>
      <c r="L220" s="455" t="s">
        <v>426</v>
      </c>
      <c r="M220" s="456">
        <v>44197</v>
      </c>
      <c r="N220" s="456">
        <v>44561</v>
      </c>
      <c r="O220" s="455">
        <f>+R220+U220+X220+AA220+AD220+AG220+AJ220+AM220+AP220+AS220+AV220+AY220</f>
        <v>0</v>
      </c>
      <c r="P220" s="455">
        <v>1</v>
      </c>
      <c r="Q220" s="455">
        <v>0</v>
      </c>
      <c r="R220" s="455">
        <v>0</v>
      </c>
      <c r="S220" s="455" t="s">
        <v>267</v>
      </c>
      <c r="T220" s="455">
        <v>0</v>
      </c>
      <c r="U220" s="455">
        <v>0</v>
      </c>
      <c r="V220" s="455" t="s">
        <v>267</v>
      </c>
      <c r="W220" s="455">
        <v>0</v>
      </c>
      <c r="X220" s="455">
        <v>0</v>
      </c>
      <c r="Y220" s="457" t="s">
        <v>267</v>
      </c>
      <c r="Z220" s="455">
        <v>0</v>
      </c>
      <c r="AA220" s="455">
        <v>0</v>
      </c>
      <c r="AB220" s="457" t="s">
        <v>267</v>
      </c>
      <c r="AC220" s="455">
        <v>0</v>
      </c>
      <c r="AD220" s="455">
        <v>0</v>
      </c>
      <c r="AE220" s="457" t="s">
        <v>267</v>
      </c>
      <c r="AF220" s="455">
        <v>0</v>
      </c>
      <c r="AG220" s="458">
        <v>0</v>
      </c>
      <c r="AH220" s="460" t="s">
        <v>267</v>
      </c>
      <c r="AI220" s="455">
        <v>1</v>
      </c>
      <c r="AJ220" s="455"/>
      <c r="AK220" s="455"/>
      <c r="AL220" s="455">
        <v>0</v>
      </c>
      <c r="AM220" s="455"/>
      <c r="AN220" s="455"/>
      <c r="AO220" s="455">
        <v>0</v>
      </c>
      <c r="AP220" s="455"/>
      <c r="AQ220" s="455"/>
      <c r="AR220" s="455">
        <v>0</v>
      </c>
      <c r="AS220" s="455"/>
      <c r="AT220" s="455"/>
      <c r="AU220" s="455">
        <v>0</v>
      </c>
      <c r="AV220" s="455"/>
      <c r="AW220" s="455"/>
      <c r="AX220" s="455">
        <v>0</v>
      </c>
      <c r="AY220" s="453"/>
      <c r="AZ220" s="453"/>
      <c r="BA220" s="453">
        <f t="shared" si="10"/>
        <v>0</v>
      </c>
      <c r="BB220" s="453">
        <f t="shared" si="11"/>
        <v>0</v>
      </c>
      <c r="BC220" s="459" t="str">
        <f>+IF(BA220=0,+IF(BB220=0,"No programación, No avance",+IF(BB220&gt;0,+IF(BA220=0,BB220/P220))),BB220/BA220)</f>
        <v>No programación, No avance</v>
      </c>
    </row>
    <row r="221" spans="1:56" s="2" customFormat="1" ht="108">
      <c r="A221" s="713"/>
      <c r="B221" s="750"/>
      <c r="C221" s="685"/>
      <c r="D221" s="685"/>
      <c r="E221" s="455" t="s">
        <v>1894</v>
      </c>
      <c r="F221" s="455" t="s">
        <v>1878</v>
      </c>
      <c r="G221" s="455">
        <v>0.11</v>
      </c>
      <c r="H221" s="455" t="s">
        <v>1879</v>
      </c>
      <c r="I221" s="455" t="s">
        <v>73</v>
      </c>
      <c r="J221" s="455" t="s">
        <v>127</v>
      </c>
      <c r="K221" s="455" t="s">
        <v>426</v>
      </c>
      <c r="L221" s="455" t="s">
        <v>426</v>
      </c>
      <c r="M221" s="456">
        <v>44197</v>
      </c>
      <c r="N221" s="456">
        <v>44561</v>
      </c>
      <c r="O221" s="455">
        <f>+R221+U221+X221+AA221+AD221+AG221+AJ221+AM221+AP221+AS221+AV221+AY221</f>
        <v>0</v>
      </c>
      <c r="P221" s="455">
        <v>1</v>
      </c>
      <c r="Q221" s="455">
        <v>0</v>
      </c>
      <c r="R221" s="455">
        <v>0</v>
      </c>
      <c r="S221" s="455" t="s">
        <v>267</v>
      </c>
      <c r="T221" s="455">
        <v>0</v>
      </c>
      <c r="U221" s="455">
        <v>0</v>
      </c>
      <c r="V221" s="455" t="s">
        <v>267</v>
      </c>
      <c r="W221" s="455">
        <v>0</v>
      </c>
      <c r="X221" s="455">
        <v>0</v>
      </c>
      <c r="Y221" s="457" t="s">
        <v>267</v>
      </c>
      <c r="Z221" s="455">
        <v>0</v>
      </c>
      <c r="AA221" s="455">
        <v>0</v>
      </c>
      <c r="AB221" s="457" t="s">
        <v>267</v>
      </c>
      <c r="AC221" s="455">
        <v>0</v>
      </c>
      <c r="AD221" s="455">
        <v>0</v>
      </c>
      <c r="AE221" s="457" t="s">
        <v>267</v>
      </c>
      <c r="AF221" s="455">
        <v>0</v>
      </c>
      <c r="AG221" s="458">
        <v>0</v>
      </c>
      <c r="AH221" s="460" t="s">
        <v>267</v>
      </c>
      <c r="AI221" s="455">
        <v>1</v>
      </c>
      <c r="AJ221" s="455"/>
      <c r="AK221" s="455"/>
      <c r="AL221" s="455">
        <v>0</v>
      </c>
      <c r="AM221" s="455"/>
      <c r="AN221" s="455"/>
      <c r="AO221" s="455">
        <v>0</v>
      </c>
      <c r="AP221" s="455"/>
      <c r="AQ221" s="455"/>
      <c r="AR221" s="455">
        <v>0</v>
      </c>
      <c r="AS221" s="455"/>
      <c r="AT221" s="455"/>
      <c r="AU221" s="455">
        <v>0</v>
      </c>
      <c r="AV221" s="455"/>
      <c r="AW221" s="455"/>
      <c r="AX221" s="455">
        <v>0</v>
      </c>
      <c r="AY221" s="453"/>
      <c r="AZ221" s="453"/>
      <c r="BA221" s="453">
        <f t="shared" si="10"/>
        <v>0</v>
      </c>
      <c r="BB221" s="453">
        <f t="shared" si="11"/>
        <v>0</v>
      </c>
      <c r="BC221" s="459" t="str">
        <f>+IF(BA221=0,+IF(BB221=0,"No programación, No avance",+IF(BB221&gt;0,+IF(BA221=0,BB221/P221))),BB221/BA221)</f>
        <v>No programación, No avance</v>
      </c>
    </row>
    <row r="222" spans="1:56" s="2" customFormat="1" ht="72.75" thickBot="1">
      <c r="A222" s="704"/>
      <c r="B222" s="751"/>
      <c r="C222" s="699"/>
      <c r="D222" s="699"/>
      <c r="E222" s="483" t="s">
        <v>1896</v>
      </c>
      <c r="F222" s="483" t="s">
        <v>1878</v>
      </c>
      <c r="G222" s="483">
        <v>0.12</v>
      </c>
      <c r="H222" s="483" t="s">
        <v>1879</v>
      </c>
      <c r="I222" s="483" t="s">
        <v>73</v>
      </c>
      <c r="J222" s="483" t="s">
        <v>127</v>
      </c>
      <c r="K222" s="483" t="s">
        <v>426</v>
      </c>
      <c r="L222" s="483" t="s">
        <v>426</v>
      </c>
      <c r="M222" s="484">
        <v>44197</v>
      </c>
      <c r="N222" s="484">
        <v>44561</v>
      </c>
      <c r="O222" s="483">
        <f>+R222+U222+X222+AA222+AD222+AG222+AJ222+AM222+AP222+AS222+AV222+AY222</f>
        <v>0</v>
      </c>
      <c r="P222" s="483">
        <v>1</v>
      </c>
      <c r="Q222" s="483">
        <v>0</v>
      </c>
      <c r="R222" s="483">
        <v>0</v>
      </c>
      <c r="S222" s="483"/>
      <c r="T222" s="483">
        <v>0</v>
      </c>
      <c r="U222" s="483">
        <v>0</v>
      </c>
      <c r="V222" s="483" t="s">
        <v>267</v>
      </c>
      <c r="W222" s="483">
        <v>0</v>
      </c>
      <c r="X222" s="483">
        <v>0</v>
      </c>
      <c r="Y222" s="490" t="s">
        <v>267</v>
      </c>
      <c r="Z222" s="483">
        <v>0</v>
      </c>
      <c r="AA222" s="483">
        <v>0</v>
      </c>
      <c r="AB222" s="490" t="s">
        <v>267</v>
      </c>
      <c r="AC222" s="483">
        <v>0</v>
      </c>
      <c r="AD222" s="483">
        <v>0</v>
      </c>
      <c r="AE222" s="490" t="s">
        <v>267</v>
      </c>
      <c r="AF222" s="483">
        <v>0</v>
      </c>
      <c r="AG222" s="541">
        <v>0</v>
      </c>
      <c r="AH222" s="542" t="s">
        <v>267</v>
      </c>
      <c r="AI222" s="483">
        <v>1</v>
      </c>
      <c r="AJ222" s="483"/>
      <c r="AK222" s="483"/>
      <c r="AL222" s="483">
        <v>0</v>
      </c>
      <c r="AM222" s="483"/>
      <c r="AN222" s="483"/>
      <c r="AO222" s="483">
        <v>0</v>
      </c>
      <c r="AP222" s="483"/>
      <c r="AQ222" s="483"/>
      <c r="AR222" s="483">
        <v>0</v>
      </c>
      <c r="AS222" s="483"/>
      <c r="AT222" s="483"/>
      <c r="AU222" s="483">
        <v>0</v>
      </c>
      <c r="AV222" s="483"/>
      <c r="AW222" s="483"/>
      <c r="AX222" s="483">
        <v>0</v>
      </c>
      <c r="AY222" s="486"/>
      <c r="AZ222" s="486"/>
      <c r="BA222" s="453">
        <f t="shared" si="10"/>
        <v>0</v>
      </c>
      <c r="BB222" s="453">
        <f t="shared" si="11"/>
        <v>0</v>
      </c>
      <c r="BC222" s="495" t="str">
        <f>+IF(BA222=0,+IF(BB222=0,"No programación, No avance",+IF(BB222&gt;0,+IF(BA222=0,BB222/P222))),BB222/BA222)</f>
        <v>No programación, No avance</v>
      </c>
    </row>
    <row r="223" spans="1:56" s="2" customFormat="1" ht="72" customHeight="1">
      <c r="A223" s="700" t="s">
        <v>24</v>
      </c>
      <c r="B223" s="714">
        <v>76.099999999999994</v>
      </c>
      <c r="C223" s="705" t="s">
        <v>269</v>
      </c>
      <c r="D223" s="705" t="s">
        <v>1898</v>
      </c>
      <c r="E223" s="429" t="s">
        <v>1899</v>
      </c>
      <c r="F223" s="429" t="s">
        <v>472</v>
      </c>
      <c r="G223" s="429">
        <v>0.1</v>
      </c>
      <c r="H223" s="429" t="s">
        <v>271</v>
      </c>
      <c r="I223" s="429" t="s">
        <v>79</v>
      </c>
      <c r="J223" s="429" t="s">
        <v>78</v>
      </c>
      <c r="K223" s="429" t="s">
        <v>712</v>
      </c>
      <c r="L223" s="429" t="s">
        <v>1900</v>
      </c>
      <c r="M223" s="430">
        <v>44197</v>
      </c>
      <c r="N223" s="430">
        <v>44561</v>
      </c>
      <c r="O223" s="429">
        <f>+R223+U223+X223+AA223+AD223+AG223+AJ223+AM223+AP223+AS223+AV223+AY223</f>
        <v>0.7</v>
      </c>
      <c r="P223" s="429">
        <v>1</v>
      </c>
      <c r="Q223" s="429">
        <v>0</v>
      </c>
      <c r="R223" s="530">
        <v>0</v>
      </c>
      <c r="S223" s="429" t="s">
        <v>1901</v>
      </c>
      <c r="T223" s="429">
        <v>0</v>
      </c>
      <c r="U223" s="529">
        <v>0</v>
      </c>
      <c r="V223" s="429" t="s">
        <v>1902</v>
      </c>
      <c r="W223" s="429">
        <v>0</v>
      </c>
      <c r="X223" s="529">
        <v>0</v>
      </c>
      <c r="Y223" s="432" t="s">
        <v>1903</v>
      </c>
      <c r="Z223" s="429">
        <v>1</v>
      </c>
      <c r="AA223" s="529">
        <v>0</v>
      </c>
      <c r="AB223" s="432" t="s">
        <v>1904</v>
      </c>
      <c r="AC223" s="429">
        <v>0</v>
      </c>
      <c r="AD223" s="538">
        <v>0</v>
      </c>
      <c r="AE223" s="432" t="s">
        <v>1905</v>
      </c>
      <c r="AF223" s="429">
        <v>0</v>
      </c>
      <c r="AG223" s="437">
        <v>0.7</v>
      </c>
      <c r="AH223" s="436" t="s">
        <v>1906</v>
      </c>
      <c r="AI223" s="429">
        <v>0</v>
      </c>
      <c r="AJ223" s="429"/>
      <c r="AK223" s="429"/>
      <c r="AL223" s="429">
        <v>0</v>
      </c>
      <c r="AM223" s="429"/>
      <c r="AN223" s="429"/>
      <c r="AO223" s="429">
        <v>0</v>
      </c>
      <c r="AP223" s="429"/>
      <c r="AQ223" s="429"/>
      <c r="AR223" s="429">
        <v>0</v>
      </c>
      <c r="AS223" s="429"/>
      <c r="AT223" s="429"/>
      <c r="AU223" s="429">
        <v>0</v>
      </c>
      <c r="AV223" s="429"/>
      <c r="AW223" s="429"/>
      <c r="AX223" s="429">
        <v>0</v>
      </c>
      <c r="AY223" s="431"/>
      <c r="AZ223" s="431"/>
      <c r="BA223" s="435">
        <f t="shared" si="10"/>
        <v>1</v>
      </c>
      <c r="BB223" s="435">
        <f t="shared" si="11"/>
        <v>0.7</v>
      </c>
      <c r="BC223" s="497">
        <f>+IF(BA223=0,+IF(BB223=0,"No programación, No avance",+IF(BB223&gt;0,+IF(BA223=0,BB223/P223))),BB223/BA223)</f>
        <v>0.7</v>
      </c>
      <c r="BD223" s="2">
        <f>+AVERAGE(BC223:BC259)</f>
        <v>1.6267304625199364</v>
      </c>
    </row>
    <row r="224" spans="1:56" s="2" customFormat="1" ht="72" customHeight="1">
      <c r="A224" s="701"/>
      <c r="B224" s="715"/>
      <c r="C224" s="706"/>
      <c r="D224" s="706"/>
      <c r="E224" s="433" t="s">
        <v>1908</v>
      </c>
      <c r="F224" s="433" t="s">
        <v>472</v>
      </c>
      <c r="G224" s="433">
        <v>0.1</v>
      </c>
      <c r="H224" s="433" t="s">
        <v>271</v>
      </c>
      <c r="I224" s="433" t="s">
        <v>79</v>
      </c>
      <c r="J224" s="433" t="s">
        <v>78</v>
      </c>
      <c r="K224" s="433" t="s">
        <v>712</v>
      </c>
      <c r="L224" s="433" t="s">
        <v>1900</v>
      </c>
      <c r="M224" s="434">
        <v>44197</v>
      </c>
      <c r="N224" s="434">
        <v>44561</v>
      </c>
      <c r="O224" s="433">
        <f>+R224+U224+X224+AA224+AD224+AG224+AJ224+AM224+AP224+AS224+AV224+AY224</f>
        <v>0.51</v>
      </c>
      <c r="P224" s="433">
        <v>0.6</v>
      </c>
      <c r="Q224" s="433">
        <v>0</v>
      </c>
      <c r="R224" s="437">
        <v>0</v>
      </c>
      <c r="S224" s="433" t="s">
        <v>1901</v>
      </c>
      <c r="T224" s="433">
        <v>0</v>
      </c>
      <c r="U224" s="543">
        <v>0.1</v>
      </c>
      <c r="V224" s="433" t="s">
        <v>1909</v>
      </c>
      <c r="W224" s="437">
        <v>0.15</v>
      </c>
      <c r="X224" s="437">
        <v>0.15</v>
      </c>
      <c r="Y224" s="436" t="s">
        <v>1910</v>
      </c>
      <c r="Z224" s="433">
        <v>0</v>
      </c>
      <c r="AA224" s="438">
        <v>0</v>
      </c>
      <c r="AB224" s="436" t="s">
        <v>1911</v>
      </c>
      <c r="AC224" s="433">
        <v>0</v>
      </c>
      <c r="AD224" s="439">
        <v>0</v>
      </c>
      <c r="AE224" s="436" t="s">
        <v>1912</v>
      </c>
      <c r="AF224" s="437">
        <v>0.15</v>
      </c>
      <c r="AG224" s="437">
        <v>0.26</v>
      </c>
      <c r="AH224" s="436" t="s">
        <v>1913</v>
      </c>
      <c r="AI224" s="433">
        <v>0</v>
      </c>
      <c r="AJ224" s="433"/>
      <c r="AK224" s="433"/>
      <c r="AL224" s="433">
        <v>0</v>
      </c>
      <c r="AM224" s="433"/>
      <c r="AN224" s="433"/>
      <c r="AO224" s="437">
        <v>0.15</v>
      </c>
      <c r="AP224" s="433"/>
      <c r="AQ224" s="433"/>
      <c r="AR224" s="433">
        <v>0</v>
      </c>
      <c r="AS224" s="433"/>
      <c r="AT224" s="433"/>
      <c r="AU224" s="433">
        <v>0</v>
      </c>
      <c r="AV224" s="433"/>
      <c r="AW224" s="433"/>
      <c r="AX224" s="437">
        <v>0.15</v>
      </c>
      <c r="AY224" s="435"/>
      <c r="AZ224" s="435"/>
      <c r="BA224" s="435">
        <f t="shared" si="10"/>
        <v>0.3</v>
      </c>
      <c r="BB224" s="435">
        <f t="shared" si="11"/>
        <v>0.51</v>
      </c>
      <c r="BC224" s="500">
        <f>+IF(BA224=0,+IF(BB224=0,"No programación, No avance",+IF(BB224&gt;0,+IF(BA224=0,BB224/P224))),BB224/BA224)</f>
        <v>1.7000000000000002</v>
      </c>
    </row>
    <row r="225" spans="1:55" s="2" customFormat="1" ht="72" customHeight="1">
      <c r="A225" s="701"/>
      <c r="B225" s="715"/>
      <c r="C225" s="706"/>
      <c r="D225" s="706"/>
      <c r="E225" s="433" t="s">
        <v>1915</v>
      </c>
      <c r="F225" s="433" t="s">
        <v>472</v>
      </c>
      <c r="G225" s="433">
        <v>0.08</v>
      </c>
      <c r="H225" s="433" t="s">
        <v>271</v>
      </c>
      <c r="I225" s="433" t="s">
        <v>73</v>
      </c>
      <c r="J225" s="433" t="s">
        <v>1916</v>
      </c>
      <c r="K225" s="433" t="s">
        <v>712</v>
      </c>
      <c r="L225" s="433" t="s">
        <v>1900</v>
      </c>
      <c r="M225" s="434">
        <v>44197</v>
      </c>
      <c r="N225" s="434">
        <v>44561</v>
      </c>
      <c r="O225" s="433">
        <f>+R225+U225+X225+AA225+AD225+AG225+AJ225+AM225+AP225+AS225+AV225+AY225</f>
        <v>1</v>
      </c>
      <c r="P225" s="433">
        <v>3</v>
      </c>
      <c r="Q225" s="433">
        <v>0</v>
      </c>
      <c r="R225" s="437">
        <v>0</v>
      </c>
      <c r="S225" s="433" t="s">
        <v>1901</v>
      </c>
      <c r="T225" s="433">
        <v>0</v>
      </c>
      <c r="U225" s="433">
        <v>0</v>
      </c>
      <c r="V225" s="433" t="s">
        <v>1917</v>
      </c>
      <c r="W225" s="433">
        <v>0</v>
      </c>
      <c r="X225" s="433">
        <v>0</v>
      </c>
      <c r="Y225" s="436" t="s">
        <v>1918</v>
      </c>
      <c r="Z225" s="433">
        <v>0</v>
      </c>
      <c r="AA225" s="433">
        <v>0</v>
      </c>
      <c r="AB225" s="436" t="s">
        <v>1919</v>
      </c>
      <c r="AC225" s="433">
        <v>0</v>
      </c>
      <c r="AD225" s="433">
        <v>0</v>
      </c>
      <c r="AE225" s="436" t="s">
        <v>1920</v>
      </c>
      <c r="AF225" s="433">
        <v>1</v>
      </c>
      <c r="AG225" s="498">
        <v>1</v>
      </c>
      <c r="AH225" s="499" t="s">
        <v>1921</v>
      </c>
      <c r="AI225" s="433">
        <v>0</v>
      </c>
      <c r="AJ225" s="433"/>
      <c r="AK225" s="433"/>
      <c r="AL225" s="433">
        <v>0</v>
      </c>
      <c r="AM225" s="433"/>
      <c r="AN225" s="433"/>
      <c r="AO225" s="433">
        <v>0.75</v>
      </c>
      <c r="AP225" s="433"/>
      <c r="AQ225" s="433"/>
      <c r="AR225" s="433">
        <v>0</v>
      </c>
      <c r="AS225" s="433"/>
      <c r="AT225" s="433"/>
      <c r="AU225" s="433">
        <v>0</v>
      </c>
      <c r="AV225" s="433"/>
      <c r="AW225" s="433"/>
      <c r="AX225" s="433">
        <v>1.5</v>
      </c>
      <c r="AY225" s="435"/>
      <c r="AZ225" s="435"/>
      <c r="BA225" s="435">
        <f t="shared" si="10"/>
        <v>1</v>
      </c>
      <c r="BB225" s="435">
        <f t="shared" si="11"/>
        <v>1</v>
      </c>
      <c r="BC225" s="500">
        <f>+IF(BA225=0,+IF(BB225=0,"No programación, No avance",+IF(BB225&gt;0,+IF(BA225=0,BB225/P225))),BB225/BA225)</f>
        <v>1</v>
      </c>
    </row>
    <row r="226" spans="1:55" s="2" customFormat="1" ht="72" customHeight="1">
      <c r="A226" s="701"/>
      <c r="B226" s="715"/>
      <c r="C226" s="706"/>
      <c r="D226" s="706"/>
      <c r="E226" s="433" t="s">
        <v>1923</v>
      </c>
      <c r="F226" s="433" t="s">
        <v>472</v>
      </c>
      <c r="G226" s="433">
        <v>0.08</v>
      </c>
      <c r="H226" s="433" t="s">
        <v>271</v>
      </c>
      <c r="I226" s="433" t="s">
        <v>73</v>
      </c>
      <c r="J226" s="433" t="s">
        <v>1916</v>
      </c>
      <c r="K226" s="433" t="s">
        <v>712</v>
      </c>
      <c r="L226" s="433" t="s">
        <v>1900</v>
      </c>
      <c r="M226" s="434">
        <v>44197</v>
      </c>
      <c r="N226" s="434">
        <v>44561</v>
      </c>
      <c r="O226" s="433">
        <f>+R226+U226+X226+AA226+AD226+AG226+AJ226+AM226+AP226+AS226+AV226+AY226</f>
        <v>6</v>
      </c>
      <c r="P226" s="433">
        <v>6</v>
      </c>
      <c r="Q226" s="433">
        <v>0</v>
      </c>
      <c r="R226" s="437">
        <v>0</v>
      </c>
      <c r="S226" s="433" t="s">
        <v>1901</v>
      </c>
      <c r="T226" s="433">
        <v>0</v>
      </c>
      <c r="U226" s="433">
        <v>0</v>
      </c>
      <c r="V226" s="433" t="s">
        <v>1924</v>
      </c>
      <c r="W226" s="433">
        <v>1</v>
      </c>
      <c r="X226" s="433">
        <v>5</v>
      </c>
      <c r="Y226" s="436" t="s">
        <v>1925</v>
      </c>
      <c r="Z226" s="433">
        <v>0</v>
      </c>
      <c r="AA226" s="433">
        <v>0</v>
      </c>
      <c r="AB226" s="436" t="s">
        <v>1926</v>
      </c>
      <c r="AC226" s="433">
        <v>0</v>
      </c>
      <c r="AD226" s="544">
        <v>1</v>
      </c>
      <c r="AE226" s="436" t="s">
        <v>1927</v>
      </c>
      <c r="AF226" s="433">
        <v>1</v>
      </c>
      <c r="AG226" s="498">
        <v>0</v>
      </c>
      <c r="AH226" s="499" t="s">
        <v>1927</v>
      </c>
      <c r="AI226" s="433">
        <v>0</v>
      </c>
      <c r="AJ226" s="433"/>
      <c r="AK226" s="433"/>
      <c r="AL226" s="433">
        <v>0</v>
      </c>
      <c r="AM226" s="433"/>
      <c r="AN226" s="433"/>
      <c r="AO226" s="433">
        <v>0.75</v>
      </c>
      <c r="AP226" s="433"/>
      <c r="AQ226" s="433"/>
      <c r="AR226" s="433">
        <v>0</v>
      </c>
      <c r="AS226" s="433"/>
      <c r="AT226" s="433"/>
      <c r="AU226" s="433">
        <v>0</v>
      </c>
      <c r="AV226" s="433"/>
      <c r="AW226" s="433"/>
      <c r="AX226" s="433">
        <v>4.5</v>
      </c>
      <c r="AY226" s="435"/>
      <c r="AZ226" s="435"/>
      <c r="BA226" s="435">
        <f t="shared" si="10"/>
        <v>2</v>
      </c>
      <c r="BB226" s="435">
        <f t="shared" si="11"/>
        <v>6</v>
      </c>
      <c r="BC226" s="500">
        <f>+IF(BA226=0,+IF(BB226=0,"No programación, No avance",+IF(BB226&gt;0,+IF(BA226=0,BB226/P226))),BB226/BA226)</f>
        <v>3</v>
      </c>
    </row>
    <row r="227" spans="1:55" s="2" customFormat="1" ht="72" customHeight="1">
      <c r="A227" s="701"/>
      <c r="B227" s="715"/>
      <c r="C227" s="706"/>
      <c r="D227" s="706"/>
      <c r="E227" s="433" t="s">
        <v>1929</v>
      </c>
      <c r="F227" s="433" t="s">
        <v>472</v>
      </c>
      <c r="G227" s="433">
        <v>0.08</v>
      </c>
      <c r="H227" s="433" t="s">
        <v>271</v>
      </c>
      <c r="I227" s="433" t="s">
        <v>79</v>
      </c>
      <c r="J227" s="433" t="s">
        <v>78</v>
      </c>
      <c r="K227" s="433" t="s">
        <v>712</v>
      </c>
      <c r="L227" s="433" t="s">
        <v>1900</v>
      </c>
      <c r="M227" s="434">
        <v>44197</v>
      </c>
      <c r="N227" s="434">
        <v>44561</v>
      </c>
      <c r="O227" s="433">
        <f>+R227+U227+X227+AA227+AD227+AG227+AJ227+AM227+AP227+AS227+AV227+AY227</f>
        <v>0.7</v>
      </c>
      <c r="P227" s="433">
        <v>1</v>
      </c>
      <c r="Q227" s="433">
        <v>0</v>
      </c>
      <c r="R227" s="437">
        <v>0</v>
      </c>
      <c r="S227" s="433" t="s">
        <v>1901</v>
      </c>
      <c r="T227" s="433">
        <v>0</v>
      </c>
      <c r="U227" s="438">
        <v>0</v>
      </c>
      <c r="V227" s="433" t="s">
        <v>1917</v>
      </c>
      <c r="W227" s="433">
        <v>0.2</v>
      </c>
      <c r="X227" s="437">
        <v>0</v>
      </c>
      <c r="Y227" s="436" t="s">
        <v>1930</v>
      </c>
      <c r="Z227" s="433">
        <v>0</v>
      </c>
      <c r="AA227" s="437">
        <v>0.2</v>
      </c>
      <c r="AB227" s="436" t="s">
        <v>1931</v>
      </c>
      <c r="AC227" s="433">
        <v>0</v>
      </c>
      <c r="AD227" s="439">
        <v>0</v>
      </c>
      <c r="AE227" s="436" t="s">
        <v>1932</v>
      </c>
      <c r="AF227" s="437">
        <v>0.3</v>
      </c>
      <c r="AG227" s="437">
        <v>0.5</v>
      </c>
      <c r="AH227" s="436" t="s">
        <v>1933</v>
      </c>
      <c r="AI227" s="433">
        <v>0</v>
      </c>
      <c r="AJ227" s="433"/>
      <c r="AK227" s="433"/>
      <c r="AL227" s="433">
        <v>0</v>
      </c>
      <c r="AM227" s="433"/>
      <c r="AN227" s="433"/>
      <c r="AO227" s="437">
        <v>0.25</v>
      </c>
      <c r="AP227" s="433"/>
      <c r="AQ227" s="433"/>
      <c r="AR227" s="433">
        <v>0</v>
      </c>
      <c r="AS227" s="433"/>
      <c r="AT227" s="433"/>
      <c r="AU227" s="433">
        <v>0</v>
      </c>
      <c r="AV227" s="433"/>
      <c r="AW227" s="433"/>
      <c r="AX227" s="437">
        <v>0.25</v>
      </c>
      <c r="AY227" s="435"/>
      <c r="AZ227" s="435"/>
      <c r="BA227" s="435">
        <f t="shared" si="10"/>
        <v>0.5</v>
      </c>
      <c r="BB227" s="435">
        <f t="shared" si="11"/>
        <v>0.7</v>
      </c>
      <c r="BC227" s="500">
        <f>+IF(BA227=0,+IF(BB227=0,"No programación, No avance",+IF(BB227&gt;0,+IF(BA227=0,BB227/P227))),BB227/BA227)</f>
        <v>1.4</v>
      </c>
    </row>
    <row r="228" spans="1:55" s="2" customFormat="1" ht="72" customHeight="1">
      <c r="A228" s="701"/>
      <c r="B228" s="715"/>
      <c r="C228" s="706"/>
      <c r="D228" s="706"/>
      <c r="E228" s="433" t="s">
        <v>1935</v>
      </c>
      <c r="F228" s="433" t="s">
        <v>472</v>
      </c>
      <c r="G228" s="433">
        <v>0.08</v>
      </c>
      <c r="H228" s="433" t="s">
        <v>271</v>
      </c>
      <c r="I228" s="433" t="s">
        <v>79</v>
      </c>
      <c r="J228" s="433" t="s">
        <v>78</v>
      </c>
      <c r="K228" s="433" t="s">
        <v>712</v>
      </c>
      <c r="L228" s="433" t="s">
        <v>1900</v>
      </c>
      <c r="M228" s="434">
        <v>44197</v>
      </c>
      <c r="N228" s="434">
        <v>44561</v>
      </c>
      <c r="O228" s="433">
        <f>+R228+U228+X228+AA228+AD228+AG228+AJ228+AM228+AP228+AS228+AV228+AY228</f>
        <v>0.63</v>
      </c>
      <c r="P228" s="433">
        <v>1</v>
      </c>
      <c r="Q228" s="433">
        <v>0</v>
      </c>
      <c r="R228" s="437">
        <v>0</v>
      </c>
      <c r="S228" s="433" t="s">
        <v>1901</v>
      </c>
      <c r="T228" s="433">
        <v>0</v>
      </c>
      <c r="U228" s="438">
        <v>0</v>
      </c>
      <c r="V228" s="433" t="s">
        <v>274</v>
      </c>
      <c r="W228" s="433">
        <v>0.2</v>
      </c>
      <c r="X228" s="437">
        <v>0.2</v>
      </c>
      <c r="Y228" s="436" t="s">
        <v>1936</v>
      </c>
      <c r="Z228" s="433">
        <v>0</v>
      </c>
      <c r="AA228" s="438">
        <v>0</v>
      </c>
      <c r="AB228" s="436" t="s">
        <v>1937</v>
      </c>
      <c r="AC228" s="433">
        <v>0</v>
      </c>
      <c r="AD228" s="439">
        <v>0</v>
      </c>
      <c r="AE228" s="436" t="s">
        <v>1938</v>
      </c>
      <c r="AF228" s="437">
        <v>0.3</v>
      </c>
      <c r="AG228" s="437">
        <v>0.43</v>
      </c>
      <c r="AH228" s="436" t="s">
        <v>1939</v>
      </c>
      <c r="AI228" s="433">
        <v>0</v>
      </c>
      <c r="AJ228" s="433"/>
      <c r="AK228" s="433"/>
      <c r="AL228" s="433">
        <v>0</v>
      </c>
      <c r="AM228" s="433"/>
      <c r="AN228" s="433"/>
      <c r="AO228" s="437">
        <v>0.25</v>
      </c>
      <c r="AP228" s="433"/>
      <c r="AQ228" s="433"/>
      <c r="AR228" s="433">
        <v>0</v>
      </c>
      <c r="AS228" s="433"/>
      <c r="AT228" s="433"/>
      <c r="AU228" s="433">
        <v>0</v>
      </c>
      <c r="AV228" s="433"/>
      <c r="AW228" s="433"/>
      <c r="AX228" s="437">
        <v>0.25</v>
      </c>
      <c r="AY228" s="435"/>
      <c r="AZ228" s="435"/>
      <c r="BA228" s="435">
        <f t="shared" si="10"/>
        <v>0.5</v>
      </c>
      <c r="BB228" s="435">
        <f t="shared" si="11"/>
        <v>0.63</v>
      </c>
      <c r="BC228" s="500">
        <f>+IF(BA228=0,+IF(BB228=0,"No programación, No avance",+IF(BB228&gt;0,+IF(BA228=0,BB228/P228))),BB228/BA228)</f>
        <v>1.26</v>
      </c>
    </row>
    <row r="229" spans="1:55" s="2" customFormat="1" ht="72" customHeight="1">
      <c r="A229" s="701"/>
      <c r="B229" s="715"/>
      <c r="C229" s="706"/>
      <c r="D229" s="706"/>
      <c r="E229" s="433" t="s">
        <v>1941</v>
      </c>
      <c r="F229" s="433" t="s">
        <v>472</v>
      </c>
      <c r="G229" s="433">
        <v>0.1</v>
      </c>
      <c r="H229" s="433" t="s">
        <v>271</v>
      </c>
      <c r="I229" s="433" t="s">
        <v>79</v>
      </c>
      <c r="J229" s="433" t="s">
        <v>78</v>
      </c>
      <c r="K229" s="433" t="s">
        <v>712</v>
      </c>
      <c r="L229" s="433" t="s">
        <v>1900</v>
      </c>
      <c r="M229" s="434">
        <v>44197</v>
      </c>
      <c r="N229" s="434">
        <v>44561</v>
      </c>
      <c r="O229" s="433">
        <f>+R229+U229+X229+AA229+AD229+AG229+AJ229+AM229+AP229+AS229+AV229+AY229</f>
        <v>0.8</v>
      </c>
      <c r="P229" s="433">
        <v>1</v>
      </c>
      <c r="Q229" s="433">
        <v>0</v>
      </c>
      <c r="R229" s="437">
        <v>0</v>
      </c>
      <c r="S229" s="433" t="s">
        <v>1901</v>
      </c>
      <c r="T229" s="433">
        <v>0</v>
      </c>
      <c r="U229" s="543">
        <v>0.1</v>
      </c>
      <c r="V229" s="433" t="s">
        <v>1942</v>
      </c>
      <c r="W229" s="433">
        <v>0</v>
      </c>
      <c r="X229" s="438">
        <v>0.2</v>
      </c>
      <c r="Y229" s="436" t="s">
        <v>1943</v>
      </c>
      <c r="Z229" s="433">
        <v>0</v>
      </c>
      <c r="AA229" s="438">
        <v>0</v>
      </c>
      <c r="AB229" s="436" t="s">
        <v>1944</v>
      </c>
      <c r="AC229" s="433">
        <v>0</v>
      </c>
      <c r="AD229" s="439">
        <v>0</v>
      </c>
      <c r="AE229" s="436" t="s">
        <v>1945</v>
      </c>
      <c r="AF229" s="433">
        <v>0.5</v>
      </c>
      <c r="AG229" s="437">
        <v>0.5</v>
      </c>
      <c r="AH229" s="436" t="s">
        <v>1946</v>
      </c>
      <c r="AI229" s="433">
        <v>0</v>
      </c>
      <c r="AJ229" s="433"/>
      <c r="AK229" s="433"/>
      <c r="AL229" s="433">
        <v>0</v>
      </c>
      <c r="AM229" s="433"/>
      <c r="AN229" s="433"/>
      <c r="AO229" s="433">
        <v>0</v>
      </c>
      <c r="AP229" s="433"/>
      <c r="AQ229" s="433"/>
      <c r="AR229" s="433">
        <v>0</v>
      </c>
      <c r="AS229" s="433"/>
      <c r="AT229" s="433"/>
      <c r="AU229" s="433">
        <v>0</v>
      </c>
      <c r="AV229" s="433"/>
      <c r="AW229" s="433"/>
      <c r="AX229" s="437">
        <v>0.5</v>
      </c>
      <c r="AY229" s="435"/>
      <c r="AZ229" s="435"/>
      <c r="BA229" s="435">
        <f t="shared" si="10"/>
        <v>0.5</v>
      </c>
      <c r="BB229" s="435">
        <f t="shared" si="11"/>
        <v>0.8</v>
      </c>
      <c r="BC229" s="500">
        <f>+IF(BA229=0,+IF(BB229=0,"No programación, No avance",+IF(BB229&gt;0,+IF(BA229=0,BB229/P229))),BB229/BA229)</f>
        <v>1.6</v>
      </c>
    </row>
    <row r="230" spans="1:55" s="2" customFormat="1" ht="72" customHeight="1">
      <c r="A230" s="701"/>
      <c r="B230" s="715"/>
      <c r="C230" s="706"/>
      <c r="D230" s="706"/>
      <c r="E230" s="433" t="s">
        <v>1948</v>
      </c>
      <c r="F230" s="433" t="s">
        <v>472</v>
      </c>
      <c r="G230" s="433">
        <v>0.1</v>
      </c>
      <c r="H230" s="433" t="s">
        <v>271</v>
      </c>
      <c r="I230" s="433" t="s">
        <v>79</v>
      </c>
      <c r="J230" s="433" t="s">
        <v>78</v>
      </c>
      <c r="K230" s="433" t="s">
        <v>712</v>
      </c>
      <c r="L230" s="433" t="s">
        <v>1900</v>
      </c>
      <c r="M230" s="434">
        <v>44197</v>
      </c>
      <c r="N230" s="434">
        <v>44561</v>
      </c>
      <c r="O230" s="433">
        <f>+R230+U230+X230+AA230+AD230+AG230+AJ230+AM230+AP230+AS230+AV230+AY230</f>
        <v>0.7</v>
      </c>
      <c r="P230" s="433">
        <v>1</v>
      </c>
      <c r="Q230" s="433">
        <v>0</v>
      </c>
      <c r="R230" s="437">
        <v>0</v>
      </c>
      <c r="S230" s="433" t="s">
        <v>1901</v>
      </c>
      <c r="T230" s="433">
        <v>0</v>
      </c>
      <c r="U230" s="438">
        <v>0</v>
      </c>
      <c r="V230" s="433" t="s">
        <v>274</v>
      </c>
      <c r="W230" s="437">
        <v>0.25</v>
      </c>
      <c r="X230" s="438">
        <v>0.12</v>
      </c>
      <c r="Y230" s="436" t="s">
        <v>1949</v>
      </c>
      <c r="Z230" s="433">
        <v>0</v>
      </c>
      <c r="AA230" s="438">
        <v>0</v>
      </c>
      <c r="AB230" s="436" t="s">
        <v>1950</v>
      </c>
      <c r="AC230" s="433">
        <v>0</v>
      </c>
      <c r="AD230" s="439">
        <v>0</v>
      </c>
      <c r="AE230" s="436" t="s">
        <v>1951</v>
      </c>
      <c r="AF230" s="437">
        <v>0.25</v>
      </c>
      <c r="AG230" s="437">
        <v>0.57999999999999996</v>
      </c>
      <c r="AH230" s="436" t="s">
        <v>1952</v>
      </c>
      <c r="AI230" s="433">
        <v>0</v>
      </c>
      <c r="AJ230" s="433"/>
      <c r="AK230" s="433"/>
      <c r="AL230" s="433">
        <v>0</v>
      </c>
      <c r="AM230" s="433"/>
      <c r="AN230" s="433"/>
      <c r="AO230" s="437">
        <v>0.25</v>
      </c>
      <c r="AP230" s="433"/>
      <c r="AQ230" s="433"/>
      <c r="AR230" s="433">
        <v>0</v>
      </c>
      <c r="AS230" s="433"/>
      <c r="AT230" s="433"/>
      <c r="AU230" s="433">
        <v>0</v>
      </c>
      <c r="AV230" s="433"/>
      <c r="AW230" s="433"/>
      <c r="AX230" s="437">
        <v>0.25</v>
      </c>
      <c r="AY230" s="435"/>
      <c r="AZ230" s="435"/>
      <c r="BA230" s="435">
        <f t="shared" si="10"/>
        <v>0.5</v>
      </c>
      <c r="BB230" s="435">
        <f t="shared" si="11"/>
        <v>0.7</v>
      </c>
      <c r="BC230" s="500">
        <f>+IF(BA230=0,+IF(BB230=0,"No programación, No avance",+IF(BB230&gt;0,+IF(BA230=0,BB230/P230))),BB230/BA230)</f>
        <v>1.4</v>
      </c>
    </row>
    <row r="231" spans="1:55" s="2" customFormat="1" ht="72" customHeight="1">
      <c r="A231" s="701"/>
      <c r="B231" s="715"/>
      <c r="C231" s="706"/>
      <c r="D231" s="706"/>
      <c r="E231" s="433" t="s">
        <v>1954</v>
      </c>
      <c r="F231" s="433" t="s">
        <v>472</v>
      </c>
      <c r="G231" s="433">
        <v>0.08</v>
      </c>
      <c r="H231" s="433" t="s">
        <v>271</v>
      </c>
      <c r="I231" s="433" t="s">
        <v>79</v>
      </c>
      <c r="J231" s="433" t="s">
        <v>78</v>
      </c>
      <c r="K231" s="433" t="s">
        <v>712</v>
      </c>
      <c r="L231" s="433" t="s">
        <v>1900</v>
      </c>
      <c r="M231" s="434">
        <v>44197</v>
      </c>
      <c r="N231" s="434">
        <v>44561</v>
      </c>
      <c r="O231" s="433">
        <f>+R231+U231+X231+AA231+AD231+AG231+AJ231+AM231+AP231+AS231+AV231+AY231</f>
        <v>0.7</v>
      </c>
      <c r="P231" s="433">
        <v>1</v>
      </c>
      <c r="Q231" s="433">
        <v>0</v>
      </c>
      <c r="R231" s="437">
        <v>0</v>
      </c>
      <c r="S231" s="433" t="s">
        <v>1901</v>
      </c>
      <c r="T231" s="433">
        <v>0</v>
      </c>
      <c r="U231" s="438">
        <v>0</v>
      </c>
      <c r="V231" s="433" t="s">
        <v>274</v>
      </c>
      <c r="W231" s="437">
        <v>0.25</v>
      </c>
      <c r="X231" s="438">
        <v>0.22</v>
      </c>
      <c r="Y231" s="436" t="s">
        <v>1955</v>
      </c>
      <c r="Z231" s="433">
        <v>0</v>
      </c>
      <c r="AA231" s="438">
        <v>0</v>
      </c>
      <c r="AB231" s="436" t="s">
        <v>1956</v>
      </c>
      <c r="AC231" s="433">
        <v>0</v>
      </c>
      <c r="AD231" s="439">
        <v>0</v>
      </c>
      <c r="AE231" s="436" t="s">
        <v>1957</v>
      </c>
      <c r="AF231" s="437">
        <v>0.25</v>
      </c>
      <c r="AG231" s="437">
        <v>0.48</v>
      </c>
      <c r="AH231" s="436" t="s">
        <v>1958</v>
      </c>
      <c r="AI231" s="433">
        <v>0</v>
      </c>
      <c r="AJ231" s="433"/>
      <c r="AK231" s="433"/>
      <c r="AL231" s="433">
        <v>0</v>
      </c>
      <c r="AM231" s="433"/>
      <c r="AN231" s="433"/>
      <c r="AO231" s="437">
        <v>0.25</v>
      </c>
      <c r="AP231" s="433"/>
      <c r="AQ231" s="433"/>
      <c r="AR231" s="433">
        <v>0</v>
      </c>
      <c r="AS231" s="433"/>
      <c r="AT231" s="433"/>
      <c r="AU231" s="433">
        <v>0</v>
      </c>
      <c r="AV231" s="433"/>
      <c r="AW231" s="433"/>
      <c r="AX231" s="437">
        <v>0.25</v>
      </c>
      <c r="AY231" s="435"/>
      <c r="AZ231" s="435"/>
      <c r="BA231" s="435">
        <f t="shared" si="10"/>
        <v>0.5</v>
      </c>
      <c r="BB231" s="435">
        <f t="shared" si="11"/>
        <v>0.7</v>
      </c>
      <c r="BC231" s="500">
        <f>+IF(BA231=0,+IF(BB231=0,"No programación, No avance",+IF(BB231&gt;0,+IF(BA231=0,BB231/P231))),BB231/BA231)</f>
        <v>1.4</v>
      </c>
    </row>
    <row r="232" spans="1:55" s="2" customFormat="1" ht="72" customHeight="1">
      <c r="A232" s="701"/>
      <c r="B232" s="715"/>
      <c r="C232" s="706"/>
      <c r="D232" s="706"/>
      <c r="E232" s="433" t="s">
        <v>1960</v>
      </c>
      <c r="F232" s="433" t="s">
        <v>472</v>
      </c>
      <c r="G232" s="433">
        <v>0.1</v>
      </c>
      <c r="H232" s="433" t="s">
        <v>271</v>
      </c>
      <c r="I232" s="433" t="s">
        <v>73</v>
      </c>
      <c r="J232" s="433" t="s">
        <v>1916</v>
      </c>
      <c r="K232" s="433" t="s">
        <v>712</v>
      </c>
      <c r="L232" s="433" t="s">
        <v>1900</v>
      </c>
      <c r="M232" s="434">
        <v>44197</v>
      </c>
      <c r="N232" s="434">
        <v>44561</v>
      </c>
      <c r="O232" s="433">
        <f>+R232+U232+X232+AA232+AD232+AG232+AJ232+AM232+AP232+AS232+AV232+AY232</f>
        <v>0</v>
      </c>
      <c r="P232" s="433">
        <v>3</v>
      </c>
      <c r="Q232" s="433">
        <v>0</v>
      </c>
      <c r="R232" s="433">
        <v>0</v>
      </c>
      <c r="S232" s="433" t="s">
        <v>1901</v>
      </c>
      <c r="T232" s="433">
        <v>0</v>
      </c>
      <c r="U232" s="433">
        <v>0</v>
      </c>
      <c r="V232" s="433" t="s">
        <v>1961</v>
      </c>
      <c r="W232" s="433">
        <v>0</v>
      </c>
      <c r="X232" s="433">
        <v>0</v>
      </c>
      <c r="Y232" s="436" t="s">
        <v>1962</v>
      </c>
      <c r="Z232" s="433">
        <v>0</v>
      </c>
      <c r="AA232" s="433">
        <v>0</v>
      </c>
      <c r="AB232" s="436" t="s">
        <v>1963</v>
      </c>
      <c r="AC232" s="433">
        <v>0</v>
      </c>
      <c r="AD232" s="433">
        <v>0</v>
      </c>
      <c r="AE232" s="436" t="s">
        <v>1964</v>
      </c>
      <c r="AF232" s="433">
        <v>1</v>
      </c>
      <c r="AG232" s="498">
        <v>0</v>
      </c>
      <c r="AH232" s="499" t="s">
        <v>1965</v>
      </c>
      <c r="AI232" s="433">
        <v>0</v>
      </c>
      <c r="AJ232" s="433"/>
      <c r="AK232" s="433"/>
      <c r="AL232" s="433">
        <v>0</v>
      </c>
      <c r="AM232" s="433"/>
      <c r="AN232" s="433"/>
      <c r="AO232" s="433">
        <v>0</v>
      </c>
      <c r="AP232" s="433"/>
      <c r="AQ232" s="433"/>
      <c r="AR232" s="433">
        <v>0</v>
      </c>
      <c r="AS232" s="433"/>
      <c r="AT232" s="433"/>
      <c r="AU232" s="433">
        <v>0</v>
      </c>
      <c r="AV232" s="433"/>
      <c r="AW232" s="433"/>
      <c r="AX232" s="433">
        <v>2.5</v>
      </c>
      <c r="AY232" s="435"/>
      <c r="AZ232" s="435"/>
      <c r="BA232" s="435">
        <f t="shared" si="10"/>
        <v>1</v>
      </c>
      <c r="BB232" s="435">
        <f t="shared" si="11"/>
        <v>0</v>
      </c>
      <c r="BC232" s="500">
        <f>+IF(BA232=0,+IF(BB232=0,"No programación, No avance",+IF(BB232&gt;0,+IF(BA232=0,BB232/P232))),BB232/BA232)</f>
        <v>0</v>
      </c>
    </row>
    <row r="233" spans="1:55" s="2" customFormat="1" ht="72" customHeight="1">
      <c r="A233" s="701"/>
      <c r="B233" s="715"/>
      <c r="C233" s="706"/>
      <c r="D233" s="706"/>
      <c r="E233" s="433" t="s">
        <v>1967</v>
      </c>
      <c r="F233" s="433" t="s">
        <v>472</v>
      </c>
      <c r="G233" s="433">
        <v>0.1</v>
      </c>
      <c r="H233" s="433" t="s">
        <v>271</v>
      </c>
      <c r="I233" s="433" t="s">
        <v>79</v>
      </c>
      <c r="J233" s="433" t="s">
        <v>78</v>
      </c>
      <c r="K233" s="433" t="s">
        <v>712</v>
      </c>
      <c r="L233" s="433" t="s">
        <v>1900</v>
      </c>
      <c r="M233" s="434">
        <v>44197</v>
      </c>
      <c r="N233" s="434">
        <v>44561</v>
      </c>
      <c r="O233" s="433">
        <f>+R233+U233+X233+AA233+AD233+AG233+AJ233+AM233+AP233+AS233+AV233+AY233</f>
        <v>1</v>
      </c>
      <c r="P233" s="433">
        <v>1</v>
      </c>
      <c r="Q233" s="433">
        <v>0</v>
      </c>
      <c r="R233" s="437">
        <v>0</v>
      </c>
      <c r="S233" s="433" t="s">
        <v>1901</v>
      </c>
      <c r="T233" s="433">
        <v>0</v>
      </c>
      <c r="U233" s="438">
        <v>0</v>
      </c>
      <c r="V233" s="433" t="s">
        <v>1968</v>
      </c>
      <c r="W233" s="433">
        <v>1</v>
      </c>
      <c r="X233" s="438">
        <v>1</v>
      </c>
      <c r="Y233" s="436" t="s">
        <v>1969</v>
      </c>
      <c r="Z233" s="433">
        <v>0</v>
      </c>
      <c r="AA233" s="438">
        <v>0</v>
      </c>
      <c r="AB233" s="436" t="s">
        <v>1970</v>
      </c>
      <c r="AC233" s="433">
        <v>0</v>
      </c>
      <c r="AD233" s="439">
        <v>0</v>
      </c>
      <c r="AE233" s="436" t="s">
        <v>1971</v>
      </c>
      <c r="AF233" s="433">
        <v>0</v>
      </c>
      <c r="AG233" s="433">
        <v>0</v>
      </c>
      <c r="AH233" s="436" t="s">
        <v>1971</v>
      </c>
      <c r="AI233" s="433">
        <v>0</v>
      </c>
      <c r="AJ233" s="433"/>
      <c r="AK233" s="433"/>
      <c r="AL233" s="433">
        <v>0</v>
      </c>
      <c r="AM233" s="433"/>
      <c r="AN233" s="433"/>
      <c r="AO233" s="433">
        <v>0</v>
      </c>
      <c r="AP233" s="433"/>
      <c r="AQ233" s="433"/>
      <c r="AR233" s="433">
        <v>0</v>
      </c>
      <c r="AS233" s="433"/>
      <c r="AT233" s="433"/>
      <c r="AU233" s="433">
        <v>0</v>
      </c>
      <c r="AV233" s="433"/>
      <c r="AW233" s="433"/>
      <c r="AX233" s="437">
        <v>0</v>
      </c>
      <c r="AY233" s="435"/>
      <c r="AZ233" s="435"/>
      <c r="BA233" s="435">
        <f t="shared" si="10"/>
        <v>1</v>
      </c>
      <c r="BB233" s="435">
        <f t="shared" si="11"/>
        <v>1</v>
      </c>
      <c r="BC233" s="500">
        <f>+IF(BA233=0,+IF(BB233=0,"No programación, No avance",+IF(BB233&gt;0,+IF(BA233=0,BB233/P233))),BB233/BA233)</f>
        <v>1</v>
      </c>
    </row>
    <row r="234" spans="1:55" s="2" customFormat="1" ht="72" customHeight="1">
      <c r="A234" s="701"/>
      <c r="B234" s="715"/>
      <c r="C234" s="706" t="s">
        <v>273</v>
      </c>
      <c r="D234" s="706" t="s">
        <v>1973</v>
      </c>
      <c r="E234" s="433" t="s">
        <v>1974</v>
      </c>
      <c r="F234" s="433" t="s">
        <v>472</v>
      </c>
      <c r="G234" s="433">
        <v>0.33329999999999999</v>
      </c>
      <c r="H234" s="433" t="s">
        <v>271</v>
      </c>
      <c r="I234" s="433" t="s">
        <v>73</v>
      </c>
      <c r="J234" s="433" t="s">
        <v>1916</v>
      </c>
      <c r="K234" s="433" t="s">
        <v>712</v>
      </c>
      <c r="L234" s="433" t="s">
        <v>1900</v>
      </c>
      <c r="M234" s="434">
        <v>44197</v>
      </c>
      <c r="N234" s="434">
        <v>44561</v>
      </c>
      <c r="O234" s="433">
        <f>+R234+U234+X234+AA234+AD234+AG234+AJ234+AM234+AP234+AS234+AV234+AY234</f>
        <v>0.46</v>
      </c>
      <c r="P234" s="433">
        <v>1</v>
      </c>
      <c r="Q234" s="433">
        <v>0</v>
      </c>
      <c r="R234" s="433">
        <v>0</v>
      </c>
      <c r="S234" s="433" t="s">
        <v>270</v>
      </c>
      <c r="T234" s="433">
        <v>0</v>
      </c>
      <c r="U234" s="433">
        <v>0</v>
      </c>
      <c r="V234" s="433" t="s">
        <v>1975</v>
      </c>
      <c r="W234" s="433">
        <v>0</v>
      </c>
      <c r="X234" s="433">
        <v>0</v>
      </c>
      <c r="Y234" s="436" t="s">
        <v>1976</v>
      </c>
      <c r="Z234" s="433">
        <v>0</v>
      </c>
      <c r="AA234" s="433">
        <v>0</v>
      </c>
      <c r="AB234" s="436" t="s">
        <v>1977</v>
      </c>
      <c r="AC234" s="433">
        <v>0</v>
      </c>
      <c r="AD234" s="433">
        <v>0</v>
      </c>
      <c r="AE234" s="436" t="s">
        <v>1978</v>
      </c>
      <c r="AF234" s="433">
        <v>0</v>
      </c>
      <c r="AG234" s="498">
        <v>0.46</v>
      </c>
      <c r="AH234" s="499" t="s">
        <v>1980</v>
      </c>
      <c r="AI234" s="433">
        <v>0.1</v>
      </c>
      <c r="AJ234" s="433"/>
      <c r="AK234" s="433"/>
      <c r="AL234" s="433">
        <v>0.1</v>
      </c>
      <c r="AM234" s="433"/>
      <c r="AN234" s="433"/>
      <c r="AO234" s="433">
        <v>0.1</v>
      </c>
      <c r="AP234" s="433"/>
      <c r="AQ234" s="433"/>
      <c r="AR234" s="433">
        <v>0.1</v>
      </c>
      <c r="AS234" s="433"/>
      <c r="AT234" s="433"/>
      <c r="AU234" s="433">
        <v>0.1</v>
      </c>
      <c r="AV234" s="433"/>
      <c r="AW234" s="433"/>
      <c r="AX234" s="433">
        <v>0.1</v>
      </c>
      <c r="AY234" s="435"/>
      <c r="AZ234" s="435"/>
      <c r="BA234" s="435">
        <f t="shared" si="10"/>
        <v>0</v>
      </c>
      <c r="BB234" s="435">
        <f t="shared" si="11"/>
        <v>0.46</v>
      </c>
      <c r="BC234" s="500">
        <f>+IF(BA234=0,+IF(BB234=0,"No programación, No avance",+IF(BB234&gt;0,+IF(BA234=0,BB234/P234))),BB234/BA234)</f>
        <v>0.46</v>
      </c>
    </row>
    <row r="235" spans="1:55" s="2" customFormat="1" ht="72" customHeight="1">
      <c r="A235" s="701"/>
      <c r="B235" s="715"/>
      <c r="C235" s="706"/>
      <c r="D235" s="706"/>
      <c r="E235" s="433" t="s">
        <v>1982</v>
      </c>
      <c r="F235" s="433" t="s">
        <v>472</v>
      </c>
      <c r="G235" s="433">
        <v>0.33329999999999999</v>
      </c>
      <c r="H235" s="433" t="s">
        <v>271</v>
      </c>
      <c r="I235" s="433" t="s">
        <v>79</v>
      </c>
      <c r="J235" s="433" t="s">
        <v>78</v>
      </c>
      <c r="K235" s="433" t="s">
        <v>712</v>
      </c>
      <c r="L235" s="433" t="s">
        <v>1900</v>
      </c>
      <c r="M235" s="434">
        <v>44197</v>
      </c>
      <c r="N235" s="434">
        <v>44561</v>
      </c>
      <c r="O235" s="433">
        <f>+R235+U235+X235+AA235+AD235+AG235+AJ235+AM235+AP235+AS235+AV235+AY235</f>
        <v>0.42000000000000004</v>
      </c>
      <c r="P235" s="433">
        <v>1</v>
      </c>
      <c r="Q235" s="433">
        <v>0</v>
      </c>
      <c r="R235" s="437">
        <v>0</v>
      </c>
      <c r="S235" s="433" t="s">
        <v>270</v>
      </c>
      <c r="T235" s="433">
        <v>0</v>
      </c>
      <c r="U235" s="438">
        <v>0</v>
      </c>
      <c r="V235" s="433" t="s">
        <v>1983</v>
      </c>
      <c r="W235" s="433">
        <v>0</v>
      </c>
      <c r="X235" s="438">
        <v>0</v>
      </c>
      <c r="Y235" s="436" t="s">
        <v>1984</v>
      </c>
      <c r="Z235" s="433">
        <v>0.05</v>
      </c>
      <c r="AA235" s="438">
        <v>0</v>
      </c>
      <c r="AB235" s="436" t="s">
        <v>1985</v>
      </c>
      <c r="AC235" s="437">
        <v>0.05</v>
      </c>
      <c r="AD235" s="437">
        <v>0.2</v>
      </c>
      <c r="AE235" s="436" t="s">
        <v>1986</v>
      </c>
      <c r="AF235" s="437">
        <v>0.05</v>
      </c>
      <c r="AG235" s="437">
        <v>0.22</v>
      </c>
      <c r="AH235" s="436" t="s">
        <v>1987</v>
      </c>
      <c r="AI235" s="437">
        <v>0.05</v>
      </c>
      <c r="AJ235" s="433"/>
      <c r="AK235" s="433"/>
      <c r="AL235" s="437">
        <v>0.2</v>
      </c>
      <c r="AM235" s="433"/>
      <c r="AN235" s="433"/>
      <c r="AO235" s="437">
        <v>0.2</v>
      </c>
      <c r="AP235" s="433"/>
      <c r="AQ235" s="433"/>
      <c r="AR235" s="437">
        <v>0.2</v>
      </c>
      <c r="AS235" s="433"/>
      <c r="AT235" s="433"/>
      <c r="AU235" s="437">
        <v>0.1</v>
      </c>
      <c r="AV235" s="433"/>
      <c r="AW235" s="433"/>
      <c r="AX235" s="437">
        <v>0.1</v>
      </c>
      <c r="AY235" s="435"/>
      <c r="AZ235" s="435"/>
      <c r="BA235" s="435">
        <f t="shared" si="10"/>
        <v>0.15000000000000002</v>
      </c>
      <c r="BB235" s="435">
        <f t="shared" si="11"/>
        <v>0.42000000000000004</v>
      </c>
      <c r="BC235" s="500">
        <f>+IF(BA235=0,+IF(BB235=0,"No programación, No avance",+IF(BB235&gt;0,+IF(BA235=0,BB235/P235))),BB235/BA235)</f>
        <v>2.8</v>
      </c>
    </row>
    <row r="236" spans="1:55" s="2" customFormat="1" ht="72" customHeight="1">
      <c r="A236" s="701"/>
      <c r="B236" s="715"/>
      <c r="C236" s="706"/>
      <c r="D236" s="706"/>
      <c r="E236" s="433" t="s">
        <v>1989</v>
      </c>
      <c r="F236" s="433" t="s">
        <v>472</v>
      </c>
      <c r="G236" s="433">
        <v>0.33339999999999997</v>
      </c>
      <c r="H236" s="433" t="s">
        <v>271</v>
      </c>
      <c r="I236" s="433" t="s">
        <v>73</v>
      </c>
      <c r="J236" s="433" t="s">
        <v>1916</v>
      </c>
      <c r="K236" s="433" t="s">
        <v>712</v>
      </c>
      <c r="L236" s="433" t="s">
        <v>1900</v>
      </c>
      <c r="M236" s="434">
        <v>44197</v>
      </c>
      <c r="N236" s="434">
        <v>44561</v>
      </c>
      <c r="O236" s="433">
        <f>+R236+U236+X236+AA236+AD236+AG236+AJ236+AM236+AP236+AS236+AV236+AY236</f>
        <v>0</v>
      </c>
      <c r="P236" s="433">
        <v>1</v>
      </c>
      <c r="Q236" s="433">
        <v>0</v>
      </c>
      <c r="R236" s="433">
        <v>0</v>
      </c>
      <c r="S236" s="433" t="s">
        <v>270</v>
      </c>
      <c r="T236" s="433">
        <v>0</v>
      </c>
      <c r="U236" s="433">
        <v>0</v>
      </c>
      <c r="V236" s="433" t="s">
        <v>1990</v>
      </c>
      <c r="W236" s="433">
        <v>0</v>
      </c>
      <c r="X236" s="433">
        <v>0</v>
      </c>
      <c r="Y236" s="436" t="s">
        <v>1991</v>
      </c>
      <c r="Z236" s="433">
        <v>0</v>
      </c>
      <c r="AA236" s="433">
        <v>0</v>
      </c>
      <c r="AB236" s="436" t="s">
        <v>1992</v>
      </c>
      <c r="AC236" s="433">
        <v>0</v>
      </c>
      <c r="AD236" s="433">
        <v>0</v>
      </c>
      <c r="AE236" s="436" t="s">
        <v>1993</v>
      </c>
      <c r="AF236" s="433">
        <v>0</v>
      </c>
      <c r="AG236" s="498">
        <v>0</v>
      </c>
      <c r="AH236" s="499" t="s">
        <v>1994</v>
      </c>
      <c r="AI236" s="433">
        <v>0</v>
      </c>
      <c r="AJ236" s="433"/>
      <c r="AK236" s="433"/>
      <c r="AL236" s="433">
        <v>0</v>
      </c>
      <c r="AM236" s="433"/>
      <c r="AN236" s="433"/>
      <c r="AO236" s="433">
        <v>0</v>
      </c>
      <c r="AP236" s="433"/>
      <c r="AQ236" s="433"/>
      <c r="AR236" s="433">
        <v>0</v>
      </c>
      <c r="AS236" s="433"/>
      <c r="AT236" s="433"/>
      <c r="AU236" s="433">
        <v>0</v>
      </c>
      <c r="AV236" s="433"/>
      <c r="AW236" s="433"/>
      <c r="AX236" s="433">
        <v>1</v>
      </c>
      <c r="AY236" s="435"/>
      <c r="AZ236" s="435"/>
      <c r="BA236" s="435">
        <f t="shared" si="10"/>
        <v>0</v>
      </c>
      <c r="BB236" s="435">
        <f t="shared" si="11"/>
        <v>0</v>
      </c>
      <c r="BC236" s="500" t="str">
        <f>+IF(BA236=0,+IF(BB236=0,"No programación, No avance",+IF(BB236&gt;0,+IF(BA236=0,BB236/P236))),BB236/BA236)</f>
        <v>No programación, No avance</v>
      </c>
    </row>
    <row r="237" spans="1:55" s="2" customFormat="1" ht="72" customHeight="1">
      <c r="A237" s="701"/>
      <c r="B237" s="715"/>
      <c r="C237" s="706" t="s">
        <v>276</v>
      </c>
      <c r="D237" s="706" t="s">
        <v>1996</v>
      </c>
      <c r="E237" s="433" t="s">
        <v>1997</v>
      </c>
      <c r="F237" s="433" t="s">
        <v>472</v>
      </c>
      <c r="G237" s="433">
        <v>0.5</v>
      </c>
      <c r="H237" s="433" t="s">
        <v>271</v>
      </c>
      <c r="I237" s="433" t="s">
        <v>79</v>
      </c>
      <c r="J237" s="433" t="s">
        <v>78</v>
      </c>
      <c r="K237" s="433" t="s">
        <v>712</v>
      </c>
      <c r="L237" s="433" t="s">
        <v>1900</v>
      </c>
      <c r="M237" s="434">
        <v>44197</v>
      </c>
      <c r="N237" s="434">
        <v>44561</v>
      </c>
      <c r="O237" s="433">
        <f>+R237+U237+X237+AA237+AD237+AG237+AJ237+AM237+AP237+AS237+AV237+AY237</f>
        <v>0.60000000000000009</v>
      </c>
      <c r="P237" s="433">
        <v>1</v>
      </c>
      <c r="Q237" s="433">
        <v>0</v>
      </c>
      <c r="R237" s="437">
        <v>0</v>
      </c>
      <c r="S237" s="433" t="s">
        <v>270</v>
      </c>
      <c r="T237" s="433">
        <v>0</v>
      </c>
      <c r="U237" s="438">
        <v>0</v>
      </c>
      <c r="V237" s="433" t="s">
        <v>1975</v>
      </c>
      <c r="W237" s="433">
        <v>0</v>
      </c>
      <c r="X237" s="438">
        <v>0</v>
      </c>
      <c r="Y237" s="436" t="s">
        <v>1998</v>
      </c>
      <c r="Z237" s="433">
        <v>0.05</v>
      </c>
      <c r="AA237" s="438">
        <v>0</v>
      </c>
      <c r="AB237" s="436" t="s">
        <v>1999</v>
      </c>
      <c r="AC237" s="437">
        <v>0.05</v>
      </c>
      <c r="AD237" s="437">
        <v>0.2</v>
      </c>
      <c r="AE237" s="436" t="s">
        <v>2000</v>
      </c>
      <c r="AF237" s="437">
        <v>0.05</v>
      </c>
      <c r="AG237" s="437">
        <v>0.4</v>
      </c>
      <c r="AH237" s="436" t="s">
        <v>2001</v>
      </c>
      <c r="AI237" s="437">
        <v>0.05</v>
      </c>
      <c r="AJ237" s="433"/>
      <c r="AK237" s="433"/>
      <c r="AL237" s="437">
        <v>0.1</v>
      </c>
      <c r="AM237" s="433"/>
      <c r="AN237" s="433"/>
      <c r="AO237" s="437">
        <v>0.2</v>
      </c>
      <c r="AP237" s="433"/>
      <c r="AQ237" s="433"/>
      <c r="AR237" s="437">
        <v>0.2</v>
      </c>
      <c r="AS237" s="433"/>
      <c r="AT237" s="433"/>
      <c r="AU237" s="437">
        <v>0.2</v>
      </c>
      <c r="AV237" s="433"/>
      <c r="AW237" s="433"/>
      <c r="AX237" s="437">
        <v>0.1</v>
      </c>
      <c r="AY237" s="435"/>
      <c r="AZ237" s="435"/>
      <c r="BA237" s="435">
        <f t="shared" si="10"/>
        <v>0.15000000000000002</v>
      </c>
      <c r="BB237" s="435">
        <f t="shared" si="11"/>
        <v>0.60000000000000009</v>
      </c>
      <c r="BC237" s="500">
        <f>+IF(BA237=0,+IF(BB237=0,"No programación, No avance",+IF(BB237&gt;0,+IF(BA237=0,BB237/P237))),BB237/BA237)</f>
        <v>4</v>
      </c>
    </row>
    <row r="238" spans="1:55" s="2" customFormat="1" ht="72" customHeight="1">
      <c r="A238" s="701"/>
      <c r="B238" s="715"/>
      <c r="C238" s="706"/>
      <c r="D238" s="706"/>
      <c r="E238" s="433" t="s">
        <v>2003</v>
      </c>
      <c r="F238" s="433" t="s">
        <v>472</v>
      </c>
      <c r="G238" s="433">
        <v>0.25</v>
      </c>
      <c r="H238" s="433" t="s">
        <v>271</v>
      </c>
      <c r="I238" s="433" t="s">
        <v>79</v>
      </c>
      <c r="J238" s="433" t="s">
        <v>2004</v>
      </c>
      <c r="K238" s="433" t="s">
        <v>712</v>
      </c>
      <c r="L238" s="433" t="s">
        <v>1900</v>
      </c>
      <c r="M238" s="434">
        <v>44197</v>
      </c>
      <c r="N238" s="434">
        <v>44561</v>
      </c>
      <c r="O238" s="433">
        <f>+R238+U238+X238+AA238+AD238+AG238+AJ238+AM238+AP238+AS238+AV238+AY238</f>
        <v>0.41000000000000003</v>
      </c>
      <c r="P238" s="433">
        <v>1</v>
      </c>
      <c r="Q238" s="433">
        <v>0</v>
      </c>
      <c r="R238" s="437">
        <v>0</v>
      </c>
      <c r="S238" s="433" t="s">
        <v>277</v>
      </c>
      <c r="T238" s="433">
        <v>0</v>
      </c>
      <c r="U238" s="438">
        <v>0</v>
      </c>
      <c r="V238" s="433" t="s">
        <v>277</v>
      </c>
      <c r="W238" s="433">
        <v>0</v>
      </c>
      <c r="X238" s="438">
        <v>0</v>
      </c>
      <c r="Y238" s="436" t="s">
        <v>2005</v>
      </c>
      <c r="Z238" s="437">
        <v>0.05</v>
      </c>
      <c r="AA238" s="437">
        <v>0.2</v>
      </c>
      <c r="AB238" s="436" t="s">
        <v>2006</v>
      </c>
      <c r="AC238" s="433">
        <v>0.05</v>
      </c>
      <c r="AD238" s="437">
        <v>0</v>
      </c>
      <c r="AE238" s="436" t="s">
        <v>2007</v>
      </c>
      <c r="AF238" s="437">
        <v>0.05</v>
      </c>
      <c r="AG238" s="437">
        <v>0.21</v>
      </c>
      <c r="AH238" s="436" t="s">
        <v>2007</v>
      </c>
      <c r="AI238" s="437">
        <v>0.05</v>
      </c>
      <c r="AJ238" s="433"/>
      <c r="AK238" s="433"/>
      <c r="AL238" s="437">
        <v>0.1</v>
      </c>
      <c r="AM238" s="433"/>
      <c r="AN238" s="433"/>
      <c r="AO238" s="437">
        <v>0.2</v>
      </c>
      <c r="AP238" s="433"/>
      <c r="AQ238" s="433"/>
      <c r="AR238" s="437">
        <v>0.2</v>
      </c>
      <c r="AS238" s="433"/>
      <c r="AT238" s="433"/>
      <c r="AU238" s="437">
        <v>0.2</v>
      </c>
      <c r="AV238" s="433"/>
      <c r="AW238" s="433"/>
      <c r="AX238" s="437">
        <v>0.1</v>
      </c>
      <c r="AY238" s="435"/>
      <c r="AZ238" s="435"/>
      <c r="BA238" s="435">
        <f t="shared" si="10"/>
        <v>0.15000000000000002</v>
      </c>
      <c r="BB238" s="435">
        <f t="shared" si="11"/>
        <v>0.41000000000000003</v>
      </c>
      <c r="BC238" s="500">
        <f>+IF(BA238=0,+IF(BB238=0,"No programación, No avance",+IF(BB238&gt;0,+IF(BA238=0,BB238/P238))),BB238/BA238)</f>
        <v>2.7333333333333329</v>
      </c>
    </row>
    <row r="239" spans="1:55" s="2" customFormat="1" ht="72" customHeight="1">
      <c r="A239" s="701"/>
      <c r="B239" s="715"/>
      <c r="C239" s="706"/>
      <c r="D239" s="706"/>
      <c r="E239" s="433" t="s">
        <v>2009</v>
      </c>
      <c r="F239" s="433" t="s">
        <v>472</v>
      </c>
      <c r="G239" s="433">
        <v>0.25</v>
      </c>
      <c r="H239" s="433" t="s">
        <v>271</v>
      </c>
      <c r="I239" s="433" t="s">
        <v>79</v>
      </c>
      <c r="J239" s="433" t="s">
        <v>2004</v>
      </c>
      <c r="K239" s="433" t="s">
        <v>712</v>
      </c>
      <c r="L239" s="433" t="s">
        <v>1900</v>
      </c>
      <c r="M239" s="434">
        <v>44197</v>
      </c>
      <c r="N239" s="434">
        <v>44561</v>
      </c>
      <c r="O239" s="433">
        <f>+R239+U239+X239+AA239+AD239+AG239+AJ239+AM239+AP239+AS239+AV239+AY239</f>
        <v>0.9</v>
      </c>
      <c r="P239" s="433">
        <v>1</v>
      </c>
      <c r="Q239" s="433">
        <v>0</v>
      </c>
      <c r="R239" s="437">
        <v>0</v>
      </c>
      <c r="S239" s="433" t="s">
        <v>277</v>
      </c>
      <c r="T239" s="433">
        <v>0</v>
      </c>
      <c r="U239" s="438">
        <v>0</v>
      </c>
      <c r="V239" s="433" t="s">
        <v>277</v>
      </c>
      <c r="W239" s="433">
        <v>0.1</v>
      </c>
      <c r="X239" s="437">
        <v>0</v>
      </c>
      <c r="Y239" s="436" t="s">
        <v>2010</v>
      </c>
      <c r="Z239" s="437">
        <v>0.05</v>
      </c>
      <c r="AA239" s="437">
        <v>0</v>
      </c>
      <c r="AB239" s="436" t="s">
        <v>2011</v>
      </c>
      <c r="AC239" s="437">
        <v>0.2</v>
      </c>
      <c r="AD239" s="437">
        <v>0.4</v>
      </c>
      <c r="AE239" s="436" t="s">
        <v>2012</v>
      </c>
      <c r="AF239" s="437">
        <v>0.25</v>
      </c>
      <c r="AG239" s="437">
        <v>0.5</v>
      </c>
      <c r="AH239" s="436" t="s">
        <v>2013</v>
      </c>
      <c r="AI239" s="437">
        <v>0.1</v>
      </c>
      <c r="AJ239" s="433"/>
      <c r="AK239" s="433"/>
      <c r="AL239" s="433">
        <v>0</v>
      </c>
      <c r="AM239" s="433"/>
      <c r="AN239" s="433"/>
      <c r="AO239" s="437">
        <v>0.2</v>
      </c>
      <c r="AP239" s="433"/>
      <c r="AQ239" s="433"/>
      <c r="AR239" s="433">
        <v>0</v>
      </c>
      <c r="AS239" s="433"/>
      <c r="AT239" s="433"/>
      <c r="AU239" s="437">
        <v>0.1</v>
      </c>
      <c r="AV239" s="433"/>
      <c r="AW239" s="433"/>
      <c r="AX239" s="433">
        <v>0</v>
      </c>
      <c r="AY239" s="435"/>
      <c r="AZ239" s="435"/>
      <c r="BA239" s="435">
        <f t="shared" si="10"/>
        <v>0.60000000000000009</v>
      </c>
      <c r="BB239" s="435">
        <f t="shared" si="11"/>
        <v>0.9</v>
      </c>
      <c r="BC239" s="500">
        <f>+IF(BA239=0,+IF(BB239=0,"No programación, No avance",+IF(BB239&gt;0,+IF(BA239=0,BB239/P239))),BB239/BA239)</f>
        <v>1.4999999999999998</v>
      </c>
    </row>
    <row r="240" spans="1:55" s="2" customFormat="1" ht="72" customHeight="1">
      <c r="A240" s="701"/>
      <c r="B240" s="715"/>
      <c r="C240" s="706"/>
      <c r="D240" s="706" t="s">
        <v>2015</v>
      </c>
      <c r="E240" s="433" t="s">
        <v>2016</v>
      </c>
      <c r="F240" s="433" t="s">
        <v>472</v>
      </c>
      <c r="G240" s="433">
        <v>0.5</v>
      </c>
      <c r="H240" s="433" t="s">
        <v>271</v>
      </c>
      <c r="I240" s="433" t="s">
        <v>73</v>
      </c>
      <c r="J240" s="433" t="s">
        <v>2017</v>
      </c>
      <c r="K240" s="433" t="s">
        <v>712</v>
      </c>
      <c r="L240" s="433" t="s">
        <v>1900</v>
      </c>
      <c r="M240" s="434">
        <v>44197</v>
      </c>
      <c r="N240" s="434">
        <v>44561</v>
      </c>
      <c r="O240" s="433">
        <f>+R240+U240+X240+AA240+AD240+AG240+AJ240+AM240+AP240+AS240+AV240+AY240</f>
        <v>1</v>
      </c>
      <c r="P240" s="433">
        <v>4</v>
      </c>
      <c r="Q240" s="433">
        <v>0</v>
      </c>
      <c r="R240" s="433">
        <v>0</v>
      </c>
      <c r="S240" s="433" t="s">
        <v>292</v>
      </c>
      <c r="T240" s="433">
        <v>0</v>
      </c>
      <c r="U240" s="433">
        <v>0</v>
      </c>
      <c r="V240" s="433" t="s">
        <v>292</v>
      </c>
      <c r="W240" s="433">
        <v>0</v>
      </c>
      <c r="X240" s="433">
        <v>0</v>
      </c>
      <c r="Y240" s="436" t="s">
        <v>2018</v>
      </c>
      <c r="Z240" s="433">
        <v>0</v>
      </c>
      <c r="AA240" s="433">
        <v>0</v>
      </c>
      <c r="AB240" s="436" t="s">
        <v>2019</v>
      </c>
      <c r="AC240" s="433">
        <v>0</v>
      </c>
      <c r="AD240" s="433">
        <v>0</v>
      </c>
      <c r="AE240" s="436" t="s">
        <v>2020</v>
      </c>
      <c r="AF240" s="433">
        <v>0</v>
      </c>
      <c r="AG240" s="545">
        <v>1</v>
      </c>
      <c r="AH240" s="499" t="s">
        <v>2020</v>
      </c>
      <c r="AI240" s="433">
        <v>2</v>
      </c>
      <c r="AJ240" s="433"/>
      <c r="AK240" s="433"/>
      <c r="AL240" s="433">
        <v>0</v>
      </c>
      <c r="AM240" s="433"/>
      <c r="AN240" s="433"/>
      <c r="AO240" s="433">
        <v>0</v>
      </c>
      <c r="AP240" s="433"/>
      <c r="AQ240" s="433"/>
      <c r="AR240" s="433">
        <v>0</v>
      </c>
      <c r="AS240" s="433"/>
      <c r="AT240" s="433"/>
      <c r="AU240" s="433">
        <v>0</v>
      </c>
      <c r="AV240" s="433"/>
      <c r="AW240" s="433"/>
      <c r="AX240" s="433">
        <v>2</v>
      </c>
      <c r="AY240" s="435"/>
      <c r="AZ240" s="435"/>
      <c r="BA240" s="435">
        <f t="shared" si="10"/>
        <v>0</v>
      </c>
      <c r="BB240" s="435">
        <f t="shared" si="11"/>
        <v>1</v>
      </c>
      <c r="BC240" s="500">
        <f>+IF(BA240=0,+IF(BB240=0,"No programación, No avance",+IF(BB240&gt;0,+IF(BA240=0,BB240/P240))),BB240/BA240)</f>
        <v>0.25</v>
      </c>
    </row>
    <row r="241" spans="1:55" s="2" customFormat="1" ht="72" customHeight="1">
      <c r="A241" s="701"/>
      <c r="B241" s="715"/>
      <c r="C241" s="706"/>
      <c r="D241" s="706"/>
      <c r="E241" s="433" t="s">
        <v>2022</v>
      </c>
      <c r="F241" s="433" t="s">
        <v>472</v>
      </c>
      <c r="G241" s="433">
        <v>0.5</v>
      </c>
      <c r="H241" s="433" t="s">
        <v>271</v>
      </c>
      <c r="I241" s="433" t="s">
        <v>79</v>
      </c>
      <c r="J241" s="433" t="s">
        <v>358</v>
      </c>
      <c r="K241" s="433" t="s">
        <v>712</v>
      </c>
      <c r="L241" s="433" t="s">
        <v>1900</v>
      </c>
      <c r="M241" s="434">
        <v>44197</v>
      </c>
      <c r="N241" s="434">
        <v>44561</v>
      </c>
      <c r="O241" s="433">
        <f>+R241+U241+X241+AA241+AD241+AG241+AJ241+AM241+AP241+AS241+AV241+AY241</f>
        <v>0.22</v>
      </c>
      <c r="P241" s="433">
        <v>1</v>
      </c>
      <c r="Q241" s="433">
        <v>0</v>
      </c>
      <c r="R241" s="437">
        <v>0</v>
      </c>
      <c r="S241" s="433" t="s">
        <v>277</v>
      </c>
      <c r="T241" s="433">
        <v>0</v>
      </c>
      <c r="U241" s="438">
        <v>0</v>
      </c>
      <c r="V241" s="433" t="s">
        <v>277</v>
      </c>
      <c r="W241" s="433">
        <v>0</v>
      </c>
      <c r="X241" s="438">
        <v>0</v>
      </c>
      <c r="Y241" s="436" t="s">
        <v>2023</v>
      </c>
      <c r="Z241" s="433">
        <v>0</v>
      </c>
      <c r="AA241" s="438">
        <v>0</v>
      </c>
      <c r="AB241" s="436" t="s">
        <v>2006</v>
      </c>
      <c r="AC241" s="433">
        <v>0</v>
      </c>
      <c r="AD241" s="439">
        <v>0</v>
      </c>
      <c r="AE241" s="436" t="s">
        <v>2007</v>
      </c>
      <c r="AF241" s="433">
        <v>0</v>
      </c>
      <c r="AG241" s="437">
        <v>0.22</v>
      </c>
      <c r="AH241" s="546" t="s">
        <v>2007</v>
      </c>
      <c r="AI241" s="433">
        <v>0</v>
      </c>
      <c r="AJ241" s="433"/>
      <c r="AK241" s="433"/>
      <c r="AL241" s="433">
        <v>0.1</v>
      </c>
      <c r="AM241" s="433"/>
      <c r="AN241" s="433"/>
      <c r="AO241" s="433">
        <v>0</v>
      </c>
      <c r="AP241" s="433"/>
      <c r="AQ241" s="433"/>
      <c r="AR241" s="437">
        <v>0.4</v>
      </c>
      <c r="AS241" s="433"/>
      <c r="AT241" s="433"/>
      <c r="AU241" s="433">
        <v>0</v>
      </c>
      <c r="AV241" s="433"/>
      <c r="AW241" s="433"/>
      <c r="AX241" s="437">
        <v>0.5</v>
      </c>
      <c r="AY241" s="435"/>
      <c r="AZ241" s="435"/>
      <c r="BA241" s="435">
        <f t="shared" si="10"/>
        <v>0</v>
      </c>
      <c r="BB241" s="435">
        <f t="shared" si="11"/>
        <v>0.22</v>
      </c>
      <c r="BC241" s="500">
        <f>+IF(BA241=0,+IF(BB241=0,"No programación, No avance",+IF(BB241&gt;0,+IF(BA241=0,BB241/P241))),BB241/BA241)</f>
        <v>0.22</v>
      </c>
    </row>
    <row r="242" spans="1:55" s="2" customFormat="1" ht="72" customHeight="1">
      <c r="A242" s="701"/>
      <c r="B242" s="715"/>
      <c r="C242" s="706" t="s">
        <v>280</v>
      </c>
      <c r="D242" s="706" t="s">
        <v>2025</v>
      </c>
      <c r="E242" s="433" t="s">
        <v>2026</v>
      </c>
      <c r="F242" s="433" t="s">
        <v>472</v>
      </c>
      <c r="G242" s="433">
        <v>0.4</v>
      </c>
      <c r="H242" s="433" t="s">
        <v>271</v>
      </c>
      <c r="I242" s="433" t="s">
        <v>79</v>
      </c>
      <c r="J242" s="433" t="s">
        <v>78</v>
      </c>
      <c r="K242" s="433" t="s">
        <v>127</v>
      </c>
      <c r="L242" s="433" t="s">
        <v>1900</v>
      </c>
      <c r="M242" s="434">
        <v>44197</v>
      </c>
      <c r="N242" s="434">
        <v>44561</v>
      </c>
      <c r="O242" s="433">
        <f>+R242+U242+X242+AA242+AD242+AG242+AJ242+AM242+AP242+AS242+AV242+AY242</f>
        <v>0</v>
      </c>
      <c r="P242" s="433">
        <v>1</v>
      </c>
      <c r="Q242" s="433">
        <v>0</v>
      </c>
      <c r="R242" s="437">
        <v>0</v>
      </c>
      <c r="S242" s="433" t="s">
        <v>2027</v>
      </c>
      <c r="T242" s="433">
        <v>0</v>
      </c>
      <c r="U242" s="438">
        <v>0</v>
      </c>
      <c r="V242" s="433" t="s">
        <v>277</v>
      </c>
      <c r="W242" s="433">
        <v>0</v>
      </c>
      <c r="X242" s="438">
        <v>0</v>
      </c>
      <c r="Y242" s="436" t="s">
        <v>2028</v>
      </c>
      <c r="Z242" s="433">
        <v>0</v>
      </c>
      <c r="AA242" s="438">
        <v>0</v>
      </c>
      <c r="AB242" s="436" t="s">
        <v>2029</v>
      </c>
      <c r="AC242" s="433">
        <v>0</v>
      </c>
      <c r="AD242" s="439">
        <v>0</v>
      </c>
      <c r="AE242" s="436" t="s">
        <v>2030</v>
      </c>
      <c r="AF242" s="433">
        <v>0</v>
      </c>
      <c r="AG242" s="433">
        <v>0</v>
      </c>
      <c r="AH242" s="436" t="s">
        <v>2031</v>
      </c>
      <c r="AI242" s="433">
        <v>0.5</v>
      </c>
      <c r="AJ242" s="433"/>
      <c r="AK242" s="433"/>
      <c r="AL242" s="433">
        <v>0</v>
      </c>
      <c r="AM242" s="433"/>
      <c r="AN242" s="433"/>
      <c r="AO242" s="433">
        <v>0</v>
      </c>
      <c r="AP242" s="433"/>
      <c r="AQ242" s="433"/>
      <c r="AR242" s="433">
        <v>0</v>
      </c>
      <c r="AS242" s="433"/>
      <c r="AT242" s="433"/>
      <c r="AU242" s="433">
        <v>0</v>
      </c>
      <c r="AV242" s="433"/>
      <c r="AW242" s="433"/>
      <c r="AX242" s="437">
        <v>0.5</v>
      </c>
      <c r="AY242" s="435"/>
      <c r="AZ242" s="435"/>
      <c r="BA242" s="435">
        <f t="shared" si="10"/>
        <v>0</v>
      </c>
      <c r="BB242" s="435">
        <f t="shared" si="11"/>
        <v>0</v>
      </c>
      <c r="BC242" s="500" t="str">
        <f>+IF(BA242=0,+IF(BB242=0,"No programación, No avance",+IF(BB242&gt;0,+IF(BA242=0,BB242/P242))),BB242/BA242)</f>
        <v>No programación, No avance</v>
      </c>
    </row>
    <row r="243" spans="1:55" s="2" customFormat="1" ht="72" customHeight="1">
      <c r="A243" s="701"/>
      <c r="B243" s="715"/>
      <c r="C243" s="706"/>
      <c r="D243" s="706"/>
      <c r="E243" s="433" t="s">
        <v>2033</v>
      </c>
      <c r="F243" s="433" t="s">
        <v>472</v>
      </c>
      <c r="G243" s="433">
        <v>0.4</v>
      </c>
      <c r="H243" s="433" t="s">
        <v>271</v>
      </c>
      <c r="I243" s="433" t="s">
        <v>73</v>
      </c>
      <c r="J243" s="433" t="s">
        <v>1916</v>
      </c>
      <c r="K243" s="433" t="s">
        <v>127</v>
      </c>
      <c r="L243" s="433" t="s">
        <v>1900</v>
      </c>
      <c r="M243" s="434">
        <v>44197</v>
      </c>
      <c r="N243" s="434">
        <v>44561</v>
      </c>
      <c r="O243" s="433">
        <f>+R243+U243+X243+AA243+AD243+AG243+AJ243+AM243+AP243+AS243+AV243+AY243</f>
        <v>0</v>
      </c>
      <c r="P243" s="433">
        <v>1</v>
      </c>
      <c r="Q243" s="433">
        <v>0</v>
      </c>
      <c r="R243" s="433">
        <v>0</v>
      </c>
      <c r="S243" s="433" t="s">
        <v>2027</v>
      </c>
      <c r="T243" s="433">
        <v>0</v>
      </c>
      <c r="U243" s="433">
        <v>0</v>
      </c>
      <c r="V243" s="433" t="s">
        <v>277</v>
      </c>
      <c r="W243" s="433">
        <v>0</v>
      </c>
      <c r="X243" s="433">
        <v>0</v>
      </c>
      <c r="Y243" s="436" t="s">
        <v>2028</v>
      </c>
      <c r="Z243" s="433">
        <v>0</v>
      </c>
      <c r="AA243" s="433">
        <v>0</v>
      </c>
      <c r="AB243" s="436" t="s">
        <v>2034</v>
      </c>
      <c r="AC243" s="433">
        <v>0</v>
      </c>
      <c r="AD243" s="433">
        <v>0</v>
      </c>
      <c r="AE243" s="436" t="s">
        <v>2030</v>
      </c>
      <c r="AF243" s="433">
        <v>0</v>
      </c>
      <c r="AG243" s="498">
        <v>0</v>
      </c>
      <c r="AH243" s="499" t="s">
        <v>2031</v>
      </c>
      <c r="AI243" s="433">
        <v>0</v>
      </c>
      <c r="AJ243" s="433"/>
      <c r="AK243" s="433"/>
      <c r="AL243" s="433">
        <v>0</v>
      </c>
      <c r="AM243" s="433"/>
      <c r="AN243" s="433"/>
      <c r="AO243" s="433">
        <v>0</v>
      </c>
      <c r="AP243" s="433"/>
      <c r="AQ243" s="433"/>
      <c r="AR243" s="433">
        <v>0</v>
      </c>
      <c r="AS243" s="433"/>
      <c r="AT243" s="433"/>
      <c r="AU243" s="433">
        <v>0</v>
      </c>
      <c r="AV243" s="433"/>
      <c r="AW243" s="433"/>
      <c r="AX243" s="433">
        <v>1</v>
      </c>
      <c r="AY243" s="435"/>
      <c r="AZ243" s="435"/>
      <c r="BA243" s="435">
        <f t="shared" si="10"/>
        <v>0</v>
      </c>
      <c r="BB243" s="435">
        <f t="shared" si="11"/>
        <v>0</v>
      </c>
      <c r="BC243" s="500" t="str">
        <f>+IF(BA243=0,+IF(BB243=0,"No programación, No avance",+IF(BB243&gt;0,+IF(BA243=0,BB243/P243))),BB243/BA243)</f>
        <v>No programación, No avance</v>
      </c>
    </row>
    <row r="244" spans="1:55" s="2" customFormat="1" ht="72" customHeight="1">
      <c r="A244" s="701"/>
      <c r="B244" s="715"/>
      <c r="C244" s="706"/>
      <c r="D244" s="706"/>
      <c r="E244" s="433" t="s">
        <v>2036</v>
      </c>
      <c r="F244" s="433" t="s">
        <v>472</v>
      </c>
      <c r="G244" s="433">
        <v>0.2</v>
      </c>
      <c r="H244" s="433" t="s">
        <v>271</v>
      </c>
      <c r="I244" s="433" t="s">
        <v>79</v>
      </c>
      <c r="J244" s="433" t="s">
        <v>78</v>
      </c>
      <c r="K244" s="433" t="s">
        <v>127</v>
      </c>
      <c r="L244" s="433" t="s">
        <v>1900</v>
      </c>
      <c r="M244" s="434">
        <v>44197</v>
      </c>
      <c r="N244" s="434">
        <v>44561</v>
      </c>
      <c r="O244" s="433">
        <f>+R244+U244+X244+AA244+AD244+AG244+AJ244+AM244+AP244+AS244+AV244+AY244</f>
        <v>0.6</v>
      </c>
      <c r="P244" s="433">
        <v>1</v>
      </c>
      <c r="Q244" s="433">
        <v>0</v>
      </c>
      <c r="R244" s="437">
        <v>0</v>
      </c>
      <c r="S244" s="433" t="s">
        <v>288</v>
      </c>
      <c r="T244" s="433">
        <v>0</v>
      </c>
      <c r="U244" s="438">
        <v>0</v>
      </c>
      <c r="V244" s="433" t="s">
        <v>281</v>
      </c>
      <c r="W244" s="433">
        <v>0</v>
      </c>
      <c r="X244" s="438">
        <v>0</v>
      </c>
      <c r="Y244" s="436" t="s">
        <v>2037</v>
      </c>
      <c r="Z244" s="437">
        <v>0.25</v>
      </c>
      <c r="AA244" s="437">
        <v>0</v>
      </c>
      <c r="AB244" s="436" t="s">
        <v>2038</v>
      </c>
      <c r="AC244" s="433">
        <v>0</v>
      </c>
      <c r="AD244" s="439">
        <v>0</v>
      </c>
      <c r="AE244" s="436" t="s">
        <v>2039</v>
      </c>
      <c r="AF244" s="437">
        <v>0.25</v>
      </c>
      <c r="AG244" s="437">
        <v>0.6</v>
      </c>
      <c r="AH244" s="436" t="s">
        <v>2040</v>
      </c>
      <c r="AI244" s="433">
        <v>0</v>
      </c>
      <c r="AJ244" s="433"/>
      <c r="AK244" s="433"/>
      <c r="AL244" s="433">
        <v>0</v>
      </c>
      <c r="AM244" s="433"/>
      <c r="AN244" s="433"/>
      <c r="AO244" s="433">
        <v>0</v>
      </c>
      <c r="AP244" s="433"/>
      <c r="AQ244" s="433"/>
      <c r="AR244" s="433">
        <v>0</v>
      </c>
      <c r="AS244" s="433"/>
      <c r="AT244" s="433"/>
      <c r="AU244" s="433">
        <v>0</v>
      </c>
      <c r="AV244" s="433"/>
      <c r="AW244" s="433"/>
      <c r="AX244" s="437">
        <v>0.5</v>
      </c>
      <c r="AY244" s="435"/>
      <c r="AZ244" s="435"/>
      <c r="BA244" s="435">
        <f t="shared" si="10"/>
        <v>0.5</v>
      </c>
      <c r="BB244" s="435">
        <f t="shared" si="11"/>
        <v>0.6</v>
      </c>
      <c r="BC244" s="500">
        <f>+IF(BA244=0,+IF(BB244=0,"No programación, No avance",+IF(BB244&gt;0,+IF(BA244=0,BB244/P244))),BB244/BA244)</f>
        <v>1.2</v>
      </c>
    </row>
    <row r="245" spans="1:55" s="2" customFormat="1" ht="72" customHeight="1">
      <c r="A245" s="701"/>
      <c r="B245" s="715"/>
      <c r="C245" s="706" t="s">
        <v>273</v>
      </c>
      <c r="D245" s="706" t="s">
        <v>2042</v>
      </c>
      <c r="E245" s="433" t="s">
        <v>2043</v>
      </c>
      <c r="F245" s="433" t="s">
        <v>472</v>
      </c>
      <c r="G245" s="433">
        <v>0.5</v>
      </c>
      <c r="H245" s="433" t="s">
        <v>271</v>
      </c>
      <c r="I245" s="433" t="s">
        <v>79</v>
      </c>
      <c r="J245" s="433" t="s">
        <v>78</v>
      </c>
      <c r="K245" s="433" t="s">
        <v>127</v>
      </c>
      <c r="L245" s="433" t="s">
        <v>1900</v>
      </c>
      <c r="M245" s="434">
        <v>44197</v>
      </c>
      <c r="N245" s="434">
        <v>44561</v>
      </c>
      <c r="O245" s="433">
        <f>+R245+U245+X245+AA245+AD245+AG245+AJ245+AM245+AP245+AS245+AV245+AY245</f>
        <v>0.76</v>
      </c>
      <c r="P245" s="433">
        <v>1</v>
      </c>
      <c r="Q245" s="433">
        <v>0</v>
      </c>
      <c r="R245" s="437">
        <v>0</v>
      </c>
      <c r="S245" s="433" t="s">
        <v>301</v>
      </c>
      <c r="T245" s="433">
        <v>0.05</v>
      </c>
      <c r="U245" s="543">
        <v>0.05</v>
      </c>
      <c r="V245" s="433" t="s">
        <v>2044</v>
      </c>
      <c r="W245" s="433">
        <v>0</v>
      </c>
      <c r="X245" s="437">
        <v>0</v>
      </c>
      <c r="Y245" s="436" t="s">
        <v>2045</v>
      </c>
      <c r="Z245" s="433">
        <v>0.2</v>
      </c>
      <c r="AA245" s="438">
        <v>0</v>
      </c>
      <c r="AB245" s="436" t="s">
        <v>2046</v>
      </c>
      <c r="AC245" s="433">
        <v>0</v>
      </c>
      <c r="AD245" s="439">
        <v>0</v>
      </c>
      <c r="AE245" s="436" t="s">
        <v>2047</v>
      </c>
      <c r="AF245" s="433">
        <v>0.5</v>
      </c>
      <c r="AG245" s="437">
        <v>0.71</v>
      </c>
      <c r="AH245" s="436" t="s">
        <v>2048</v>
      </c>
      <c r="AI245" s="433">
        <v>0</v>
      </c>
      <c r="AJ245" s="433"/>
      <c r="AK245" s="433"/>
      <c r="AL245" s="433">
        <v>0</v>
      </c>
      <c r="AM245" s="433"/>
      <c r="AN245" s="433"/>
      <c r="AO245" s="433">
        <v>0.25</v>
      </c>
      <c r="AP245" s="433"/>
      <c r="AQ245" s="433"/>
      <c r="AR245" s="433">
        <v>0</v>
      </c>
      <c r="AS245" s="433"/>
      <c r="AT245" s="433"/>
      <c r="AU245" s="433">
        <v>0</v>
      </c>
      <c r="AV245" s="433"/>
      <c r="AW245" s="433"/>
      <c r="AX245" s="433">
        <v>0</v>
      </c>
      <c r="AY245" s="435"/>
      <c r="AZ245" s="435"/>
      <c r="BA245" s="435">
        <f t="shared" si="10"/>
        <v>0.75</v>
      </c>
      <c r="BB245" s="435">
        <f t="shared" si="11"/>
        <v>0.76</v>
      </c>
      <c r="BC245" s="500">
        <f>+IF(BA245=0,+IF(BB245=0,"No programación, No avance",+IF(BB245&gt;0,+IF(BA245=0,BB245/P245))),BB245/BA245)</f>
        <v>1.0133333333333334</v>
      </c>
    </row>
    <row r="246" spans="1:55" s="2" customFormat="1" ht="72" customHeight="1">
      <c r="A246" s="701"/>
      <c r="B246" s="715"/>
      <c r="C246" s="706"/>
      <c r="D246" s="706"/>
      <c r="E246" s="433" t="s">
        <v>2050</v>
      </c>
      <c r="F246" s="433" t="s">
        <v>472</v>
      </c>
      <c r="G246" s="433">
        <v>0.5</v>
      </c>
      <c r="H246" s="433" t="s">
        <v>271</v>
      </c>
      <c r="I246" s="433" t="s">
        <v>73</v>
      </c>
      <c r="J246" s="433" t="s">
        <v>1916</v>
      </c>
      <c r="K246" s="433" t="s">
        <v>127</v>
      </c>
      <c r="L246" s="433" t="s">
        <v>1900</v>
      </c>
      <c r="M246" s="434">
        <v>44197</v>
      </c>
      <c r="N246" s="434">
        <v>44561</v>
      </c>
      <c r="O246" s="433">
        <f>+R246+U246+X246+AA246+AD246+AG246+AJ246+AM246+AP246+AS246+AV246+AY246</f>
        <v>0</v>
      </c>
      <c r="P246" s="433">
        <v>1</v>
      </c>
      <c r="Q246" s="433">
        <v>0</v>
      </c>
      <c r="R246" s="433">
        <v>0</v>
      </c>
      <c r="S246" s="433" t="s">
        <v>283</v>
      </c>
      <c r="T246" s="433">
        <v>0</v>
      </c>
      <c r="U246" s="433">
        <v>0</v>
      </c>
      <c r="V246" s="433" t="s">
        <v>2051</v>
      </c>
      <c r="W246" s="433">
        <v>0</v>
      </c>
      <c r="X246" s="433">
        <v>0</v>
      </c>
      <c r="Y246" s="436" t="s">
        <v>2052</v>
      </c>
      <c r="Z246" s="433">
        <v>0</v>
      </c>
      <c r="AA246" s="433">
        <v>0</v>
      </c>
      <c r="AB246" s="436" t="s">
        <v>2053</v>
      </c>
      <c r="AC246" s="433">
        <v>0</v>
      </c>
      <c r="AD246" s="433">
        <v>0</v>
      </c>
      <c r="AE246" s="436" t="s">
        <v>2054</v>
      </c>
      <c r="AF246" s="433">
        <v>0</v>
      </c>
      <c r="AG246" s="498">
        <v>0</v>
      </c>
      <c r="AH246" s="499" t="s">
        <v>2055</v>
      </c>
      <c r="AI246" s="433">
        <v>0</v>
      </c>
      <c r="AJ246" s="433"/>
      <c r="AK246" s="433"/>
      <c r="AL246" s="433">
        <v>0</v>
      </c>
      <c r="AM246" s="433"/>
      <c r="AN246" s="433"/>
      <c r="AO246" s="433">
        <v>0</v>
      </c>
      <c r="AP246" s="433"/>
      <c r="AQ246" s="433"/>
      <c r="AR246" s="433">
        <v>0</v>
      </c>
      <c r="AS246" s="433"/>
      <c r="AT246" s="433"/>
      <c r="AU246" s="433">
        <v>0</v>
      </c>
      <c r="AV246" s="433"/>
      <c r="AW246" s="433"/>
      <c r="AX246" s="433">
        <v>1</v>
      </c>
      <c r="AY246" s="435"/>
      <c r="AZ246" s="435"/>
      <c r="BA246" s="435">
        <f t="shared" si="10"/>
        <v>0</v>
      </c>
      <c r="BB246" s="435">
        <f t="shared" si="11"/>
        <v>0</v>
      </c>
      <c r="BC246" s="500" t="str">
        <f>+IF(BA246=0,+IF(BB246=0,"No programación, No avance",+IF(BB246&gt;0,+IF(BA246=0,BB246/P246))),BB246/BA246)</f>
        <v>No programación, No avance</v>
      </c>
    </row>
    <row r="247" spans="1:55" s="2" customFormat="1" ht="72" customHeight="1">
      <c r="A247" s="701"/>
      <c r="B247" s="715"/>
      <c r="C247" s="706"/>
      <c r="D247" s="433" t="s">
        <v>2057</v>
      </c>
      <c r="E247" s="433" t="s">
        <v>2058</v>
      </c>
      <c r="F247" s="433" t="s">
        <v>472</v>
      </c>
      <c r="G247" s="433">
        <v>1</v>
      </c>
      <c r="H247" s="433" t="s">
        <v>271</v>
      </c>
      <c r="I247" s="433" t="s">
        <v>79</v>
      </c>
      <c r="J247" s="433" t="s">
        <v>78</v>
      </c>
      <c r="K247" s="433" t="s">
        <v>127</v>
      </c>
      <c r="L247" s="433" t="s">
        <v>1900</v>
      </c>
      <c r="M247" s="434">
        <v>44197</v>
      </c>
      <c r="N247" s="434">
        <v>44561</v>
      </c>
      <c r="O247" s="433">
        <f>+R247+U247+X247+AA247+AD247+AG247+AJ247+AM247+AP247+AS247+AV247+AY247</f>
        <v>0.69000000000000006</v>
      </c>
      <c r="P247" s="437">
        <v>1</v>
      </c>
      <c r="Q247" s="433">
        <v>0</v>
      </c>
      <c r="R247" s="437">
        <v>0.08</v>
      </c>
      <c r="S247" s="433" t="s">
        <v>2059</v>
      </c>
      <c r="T247" s="437">
        <v>0.05</v>
      </c>
      <c r="U247" s="543">
        <v>0.1</v>
      </c>
      <c r="V247" s="433" t="s">
        <v>2060</v>
      </c>
      <c r="W247" s="433">
        <v>0</v>
      </c>
      <c r="X247" s="438">
        <v>0</v>
      </c>
      <c r="Y247" s="436" t="s">
        <v>2061</v>
      </c>
      <c r="Z247" s="437">
        <v>0.2</v>
      </c>
      <c r="AA247" s="438">
        <v>0</v>
      </c>
      <c r="AB247" s="436" t="s">
        <v>2062</v>
      </c>
      <c r="AC247" s="437">
        <v>0.3</v>
      </c>
      <c r="AD247" s="437">
        <v>0.4</v>
      </c>
      <c r="AE247" s="436" t="s">
        <v>2063</v>
      </c>
      <c r="AF247" s="437">
        <v>0.2</v>
      </c>
      <c r="AG247" s="437">
        <v>0.11</v>
      </c>
      <c r="AH247" s="436" t="s">
        <v>2064</v>
      </c>
      <c r="AI247" s="437">
        <v>0.25</v>
      </c>
      <c r="AJ247" s="433"/>
      <c r="AK247" s="433"/>
      <c r="AL247" s="433">
        <v>0</v>
      </c>
      <c r="AM247" s="433"/>
      <c r="AN247" s="433"/>
      <c r="AO247" s="433">
        <v>0</v>
      </c>
      <c r="AP247" s="433"/>
      <c r="AQ247" s="433"/>
      <c r="AR247" s="433">
        <v>0</v>
      </c>
      <c r="AS247" s="433"/>
      <c r="AT247" s="433"/>
      <c r="AU247" s="433">
        <v>0</v>
      </c>
      <c r="AV247" s="433"/>
      <c r="AW247" s="433"/>
      <c r="AX247" s="433">
        <v>0</v>
      </c>
      <c r="AY247" s="435"/>
      <c r="AZ247" s="435"/>
      <c r="BA247" s="435">
        <f t="shared" si="10"/>
        <v>0.75</v>
      </c>
      <c r="BB247" s="435">
        <f t="shared" si="11"/>
        <v>0.69000000000000006</v>
      </c>
      <c r="BC247" s="500">
        <f>+IF(BA247=0,+IF(BB247=0,"No programación, No avance",+IF(BB247&gt;0,+IF(BA247=0,BB247/P247))),BB247/BA247)</f>
        <v>0.92</v>
      </c>
    </row>
    <row r="248" spans="1:55" s="2" customFormat="1" ht="72" customHeight="1">
      <c r="A248" s="701"/>
      <c r="B248" s="715"/>
      <c r="C248" s="706"/>
      <c r="D248" s="706" t="s">
        <v>2066</v>
      </c>
      <c r="E248" s="433" t="s">
        <v>2067</v>
      </c>
      <c r="F248" s="433" t="s">
        <v>472</v>
      </c>
      <c r="G248" s="433">
        <v>0.5</v>
      </c>
      <c r="H248" s="433" t="s">
        <v>271</v>
      </c>
      <c r="I248" s="433" t="s">
        <v>73</v>
      </c>
      <c r="J248" s="433" t="s">
        <v>2017</v>
      </c>
      <c r="K248" s="433" t="s">
        <v>712</v>
      </c>
      <c r="L248" s="433" t="s">
        <v>1900</v>
      </c>
      <c r="M248" s="434">
        <v>44197</v>
      </c>
      <c r="N248" s="434">
        <v>44561</v>
      </c>
      <c r="O248" s="433">
        <f>+R248+U248+X248+AA248+AD248+AG248+AJ248+AM248+AP248+AS248+AV248+AY248</f>
        <v>4</v>
      </c>
      <c r="P248" s="433">
        <v>3</v>
      </c>
      <c r="Q248" s="433">
        <v>0</v>
      </c>
      <c r="R248" s="433">
        <v>1</v>
      </c>
      <c r="S248" s="433" t="s">
        <v>286</v>
      </c>
      <c r="T248" s="433">
        <v>0</v>
      </c>
      <c r="U248" s="433">
        <v>1</v>
      </c>
      <c r="V248" s="433" t="s">
        <v>2068</v>
      </c>
      <c r="W248" s="433">
        <v>0</v>
      </c>
      <c r="X248" s="433">
        <v>0</v>
      </c>
      <c r="Y248" s="436" t="s">
        <v>2069</v>
      </c>
      <c r="Z248" s="433">
        <v>0</v>
      </c>
      <c r="AA248" s="433">
        <v>0</v>
      </c>
      <c r="AB248" s="436" t="s">
        <v>2070</v>
      </c>
      <c r="AC248" s="433">
        <v>1</v>
      </c>
      <c r="AD248" s="433">
        <v>1</v>
      </c>
      <c r="AE248" s="436" t="s">
        <v>2071</v>
      </c>
      <c r="AF248" s="433">
        <v>0</v>
      </c>
      <c r="AG248" s="498">
        <v>1</v>
      </c>
      <c r="AH248" s="499" t="s">
        <v>2072</v>
      </c>
      <c r="AI248" s="433">
        <v>0</v>
      </c>
      <c r="AJ248" s="433"/>
      <c r="AK248" s="433"/>
      <c r="AL248" s="433">
        <v>0</v>
      </c>
      <c r="AM248" s="433"/>
      <c r="AN248" s="433"/>
      <c r="AO248" s="433">
        <v>0</v>
      </c>
      <c r="AP248" s="433"/>
      <c r="AQ248" s="433"/>
      <c r="AR248" s="433">
        <v>0</v>
      </c>
      <c r="AS248" s="433"/>
      <c r="AT248" s="433"/>
      <c r="AU248" s="433">
        <v>2</v>
      </c>
      <c r="AV248" s="433"/>
      <c r="AW248" s="433"/>
      <c r="AX248" s="433">
        <v>0</v>
      </c>
      <c r="AY248" s="435"/>
      <c r="AZ248" s="435"/>
      <c r="BA248" s="435">
        <f t="shared" si="10"/>
        <v>1</v>
      </c>
      <c r="BB248" s="435">
        <f t="shared" si="11"/>
        <v>4</v>
      </c>
      <c r="BC248" s="500">
        <f>+IF(BA248=0,+IF(BB248=0,"No programación, No avance",+IF(BB248&gt;0,+IF(BA248=0,BB248/P248))),BB248/BA248)</f>
        <v>4</v>
      </c>
    </row>
    <row r="249" spans="1:55" s="2" customFormat="1" ht="72" customHeight="1">
      <c r="A249" s="701"/>
      <c r="B249" s="715"/>
      <c r="C249" s="706"/>
      <c r="D249" s="706"/>
      <c r="E249" s="433" t="s">
        <v>2074</v>
      </c>
      <c r="F249" s="433" t="s">
        <v>472</v>
      </c>
      <c r="G249" s="433">
        <v>0.5</v>
      </c>
      <c r="H249" s="433" t="s">
        <v>271</v>
      </c>
      <c r="I249" s="433" t="s">
        <v>73</v>
      </c>
      <c r="J249" s="433" t="s">
        <v>1916</v>
      </c>
      <c r="K249" s="433" t="s">
        <v>712</v>
      </c>
      <c r="L249" s="433" t="s">
        <v>1900</v>
      </c>
      <c r="M249" s="434">
        <v>44197</v>
      </c>
      <c r="N249" s="434">
        <v>44561</v>
      </c>
      <c r="O249" s="433">
        <f>+R249+U249+X249+AA249+AD249+AG249+AJ249+AM249+AP249+AS249+AV249+AY249</f>
        <v>3</v>
      </c>
      <c r="P249" s="433">
        <v>4</v>
      </c>
      <c r="Q249" s="433">
        <v>0</v>
      </c>
      <c r="R249" s="433">
        <v>0</v>
      </c>
      <c r="S249" s="433" t="s">
        <v>1901</v>
      </c>
      <c r="T249" s="433">
        <v>0</v>
      </c>
      <c r="U249" s="433">
        <v>0</v>
      </c>
      <c r="V249" s="433" t="s">
        <v>2075</v>
      </c>
      <c r="W249" s="433">
        <v>0</v>
      </c>
      <c r="X249" s="433">
        <v>0</v>
      </c>
      <c r="Y249" s="436" t="s">
        <v>2076</v>
      </c>
      <c r="Z249" s="433">
        <v>1</v>
      </c>
      <c r="AA249" s="433">
        <v>1</v>
      </c>
      <c r="AB249" s="436" t="s">
        <v>2077</v>
      </c>
      <c r="AC249" s="433">
        <v>0</v>
      </c>
      <c r="AD249" s="433">
        <v>0</v>
      </c>
      <c r="AE249" s="436" t="s">
        <v>2078</v>
      </c>
      <c r="AF249" s="433">
        <v>2</v>
      </c>
      <c r="AG249" s="498">
        <v>2</v>
      </c>
      <c r="AH249" s="499" t="s">
        <v>2079</v>
      </c>
      <c r="AI249" s="433">
        <v>0</v>
      </c>
      <c r="AJ249" s="433"/>
      <c r="AK249" s="433"/>
      <c r="AL249" s="433">
        <v>0</v>
      </c>
      <c r="AM249" s="433"/>
      <c r="AN249" s="433"/>
      <c r="AO249" s="433">
        <v>1</v>
      </c>
      <c r="AP249" s="433"/>
      <c r="AQ249" s="433"/>
      <c r="AR249" s="433">
        <v>0</v>
      </c>
      <c r="AS249" s="433"/>
      <c r="AT249" s="433"/>
      <c r="AU249" s="433">
        <v>0</v>
      </c>
      <c r="AV249" s="433"/>
      <c r="AW249" s="433"/>
      <c r="AX249" s="433">
        <v>0</v>
      </c>
      <c r="AY249" s="435"/>
      <c r="AZ249" s="435"/>
      <c r="BA249" s="435">
        <f t="shared" si="10"/>
        <v>3</v>
      </c>
      <c r="BB249" s="435">
        <f t="shared" si="11"/>
        <v>3</v>
      </c>
      <c r="BC249" s="500">
        <f>+IF(BA249=0,+IF(BB249=0,"No programación, No avance",+IF(BB249&gt;0,+IF(BA249=0,BB249/P249))),BB249/BA249)</f>
        <v>1</v>
      </c>
    </row>
    <row r="250" spans="1:55" s="2" customFormat="1" ht="72" customHeight="1">
      <c r="A250" s="701"/>
      <c r="B250" s="715"/>
      <c r="C250" s="433" t="s">
        <v>280</v>
      </c>
      <c r="D250" s="433" t="s">
        <v>2081</v>
      </c>
      <c r="E250" s="433" t="s">
        <v>2082</v>
      </c>
      <c r="F250" s="433" t="s">
        <v>472</v>
      </c>
      <c r="G250" s="433">
        <v>1</v>
      </c>
      <c r="H250" s="433" t="s">
        <v>271</v>
      </c>
      <c r="I250" s="433" t="s">
        <v>73</v>
      </c>
      <c r="J250" s="433" t="s">
        <v>1916</v>
      </c>
      <c r="K250" s="433" t="s">
        <v>127</v>
      </c>
      <c r="L250" s="433" t="s">
        <v>1900</v>
      </c>
      <c r="M250" s="434">
        <v>44197</v>
      </c>
      <c r="N250" s="434">
        <v>44561</v>
      </c>
      <c r="O250" s="433">
        <f>+R250+U250+X250+AA250+AD250+AG250+AJ250+AM250+AP250+AS250+AV250+AY250</f>
        <v>2</v>
      </c>
      <c r="P250" s="433">
        <v>6</v>
      </c>
      <c r="Q250" s="433">
        <v>0</v>
      </c>
      <c r="R250" s="433">
        <v>0</v>
      </c>
      <c r="S250" s="433" t="s">
        <v>288</v>
      </c>
      <c r="T250" s="433">
        <v>0</v>
      </c>
      <c r="U250" s="433">
        <v>0</v>
      </c>
      <c r="V250" s="433" t="s">
        <v>281</v>
      </c>
      <c r="W250" s="433">
        <v>1</v>
      </c>
      <c r="X250" s="433">
        <v>0</v>
      </c>
      <c r="Y250" s="436" t="s">
        <v>2083</v>
      </c>
      <c r="Z250" s="433">
        <v>0</v>
      </c>
      <c r="AA250" s="433">
        <v>0</v>
      </c>
      <c r="AB250" s="436" t="s">
        <v>2084</v>
      </c>
      <c r="AC250" s="433">
        <v>0</v>
      </c>
      <c r="AD250" s="433">
        <v>0</v>
      </c>
      <c r="AE250" s="436" t="s">
        <v>2085</v>
      </c>
      <c r="AF250" s="433">
        <v>2</v>
      </c>
      <c r="AG250" s="498">
        <v>2</v>
      </c>
      <c r="AH250" s="499" t="s">
        <v>2086</v>
      </c>
      <c r="AI250" s="433">
        <v>0</v>
      </c>
      <c r="AJ250" s="433"/>
      <c r="AK250" s="433"/>
      <c r="AL250" s="433">
        <v>0</v>
      </c>
      <c r="AM250" s="433"/>
      <c r="AN250" s="433"/>
      <c r="AO250" s="433">
        <v>1</v>
      </c>
      <c r="AP250" s="433"/>
      <c r="AQ250" s="433"/>
      <c r="AR250" s="433">
        <v>0</v>
      </c>
      <c r="AS250" s="433"/>
      <c r="AT250" s="433"/>
      <c r="AU250" s="433">
        <v>0</v>
      </c>
      <c r="AV250" s="433"/>
      <c r="AW250" s="433"/>
      <c r="AX250" s="433">
        <v>2</v>
      </c>
      <c r="AY250" s="435"/>
      <c r="AZ250" s="435"/>
      <c r="BA250" s="435">
        <f t="shared" si="10"/>
        <v>3</v>
      </c>
      <c r="BB250" s="435">
        <f t="shared" si="11"/>
        <v>2</v>
      </c>
      <c r="BC250" s="500">
        <f>+IF(BA250=0,+IF(BB250=0,"No programación, No avance",+IF(BB250&gt;0,+IF(BA250=0,BB250/P250))),BB250/BA250)</f>
        <v>0.66666666666666663</v>
      </c>
    </row>
    <row r="251" spans="1:55" s="2" customFormat="1" ht="72" customHeight="1">
      <c r="A251" s="701"/>
      <c r="B251" s="715"/>
      <c r="C251" s="433" t="s">
        <v>280</v>
      </c>
      <c r="D251" s="433" t="s">
        <v>2088</v>
      </c>
      <c r="E251" s="433" t="s">
        <v>2089</v>
      </c>
      <c r="F251" s="433" t="s">
        <v>472</v>
      </c>
      <c r="G251" s="433">
        <v>1</v>
      </c>
      <c r="H251" s="433" t="s">
        <v>271</v>
      </c>
      <c r="I251" s="433" t="s">
        <v>73</v>
      </c>
      <c r="J251" s="433" t="s">
        <v>1916</v>
      </c>
      <c r="K251" s="433" t="s">
        <v>127</v>
      </c>
      <c r="L251" s="433" t="s">
        <v>1900</v>
      </c>
      <c r="M251" s="434">
        <v>44197</v>
      </c>
      <c r="N251" s="434">
        <v>44561</v>
      </c>
      <c r="O251" s="433">
        <f>+R251+U251+X251+AA251+AD251+AG251+AJ251+AM251+AP251+AS251+AV251+AY251</f>
        <v>2</v>
      </c>
      <c r="P251" s="433">
        <v>1</v>
      </c>
      <c r="Q251" s="433">
        <v>0</v>
      </c>
      <c r="R251" s="433">
        <v>0</v>
      </c>
      <c r="S251" s="433" t="s">
        <v>290</v>
      </c>
      <c r="T251" s="433">
        <v>0</v>
      </c>
      <c r="U251" s="433">
        <v>0</v>
      </c>
      <c r="V251" s="433" t="s">
        <v>2090</v>
      </c>
      <c r="W251" s="433">
        <v>0</v>
      </c>
      <c r="X251" s="433">
        <v>0</v>
      </c>
      <c r="Y251" s="436" t="s">
        <v>2091</v>
      </c>
      <c r="Z251" s="433">
        <v>0</v>
      </c>
      <c r="AA251" s="433">
        <v>1</v>
      </c>
      <c r="AB251" s="436" t="s">
        <v>2092</v>
      </c>
      <c r="AC251" s="433">
        <v>0</v>
      </c>
      <c r="AD251" s="433">
        <v>0</v>
      </c>
      <c r="AE251" s="436" t="s">
        <v>2093</v>
      </c>
      <c r="AF251" s="433">
        <v>0</v>
      </c>
      <c r="AG251" s="506">
        <v>1</v>
      </c>
      <c r="AH251" s="499" t="s">
        <v>2094</v>
      </c>
      <c r="AI251" s="433">
        <v>0</v>
      </c>
      <c r="AJ251" s="433"/>
      <c r="AK251" s="433"/>
      <c r="AL251" s="433">
        <v>0</v>
      </c>
      <c r="AM251" s="433"/>
      <c r="AN251" s="433"/>
      <c r="AO251" s="433">
        <v>0</v>
      </c>
      <c r="AP251" s="433"/>
      <c r="AQ251" s="433"/>
      <c r="AR251" s="433">
        <v>0</v>
      </c>
      <c r="AS251" s="433"/>
      <c r="AT251" s="433"/>
      <c r="AU251" s="433">
        <v>0</v>
      </c>
      <c r="AV251" s="433"/>
      <c r="AW251" s="433"/>
      <c r="AX251" s="433">
        <v>1</v>
      </c>
      <c r="AY251" s="435"/>
      <c r="AZ251" s="435"/>
      <c r="BA251" s="435">
        <f t="shared" si="10"/>
        <v>0</v>
      </c>
      <c r="BB251" s="435">
        <f t="shared" si="11"/>
        <v>2</v>
      </c>
      <c r="BC251" s="500">
        <f>+IF(BA251=0,+IF(BB251=0,"No programación, No avance",+IF(BB251&gt;0,+IF(BA251=0,BB251/P251))),BB251/BA251)</f>
        <v>2</v>
      </c>
    </row>
    <row r="252" spans="1:55" s="2" customFormat="1" ht="72" customHeight="1">
      <c r="A252" s="701"/>
      <c r="B252" s="715"/>
      <c r="C252" s="433" t="s">
        <v>280</v>
      </c>
      <c r="D252" s="433" t="s">
        <v>2096</v>
      </c>
      <c r="E252" s="433" t="s">
        <v>2097</v>
      </c>
      <c r="F252" s="433" t="s">
        <v>472</v>
      </c>
      <c r="G252" s="433">
        <v>1</v>
      </c>
      <c r="H252" s="433" t="s">
        <v>271</v>
      </c>
      <c r="I252" s="433" t="s">
        <v>73</v>
      </c>
      <c r="J252" s="433" t="s">
        <v>72</v>
      </c>
      <c r="K252" s="433" t="s">
        <v>2098</v>
      </c>
      <c r="L252" s="433" t="s">
        <v>1900</v>
      </c>
      <c r="M252" s="434">
        <v>44197</v>
      </c>
      <c r="N252" s="434">
        <v>44561</v>
      </c>
      <c r="O252" s="433">
        <f>+R252+U252+X252+AA252+AD252+AG252+AJ252+AM252+AP252+AS252+AV252+AY252</f>
        <v>3</v>
      </c>
      <c r="P252" s="433">
        <v>3</v>
      </c>
      <c r="Q252" s="433">
        <v>0</v>
      </c>
      <c r="R252" s="433">
        <v>0</v>
      </c>
      <c r="S252" s="433" t="s">
        <v>292</v>
      </c>
      <c r="T252" s="433">
        <v>0</v>
      </c>
      <c r="U252" s="433">
        <v>0</v>
      </c>
      <c r="V252" s="433" t="s">
        <v>292</v>
      </c>
      <c r="W252" s="433">
        <v>0</v>
      </c>
      <c r="X252" s="433">
        <v>0</v>
      </c>
      <c r="Y252" s="436" t="s">
        <v>293</v>
      </c>
      <c r="Z252" s="433">
        <v>1</v>
      </c>
      <c r="AA252" s="433">
        <v>1</v>
      </c>
      <c r="AB252" s="436" t="s">
        <v>2099</v>
      </c>
      <c r="AC252" s="433">
        <v>0</v>
      </c>
      <c r="AD252" s="433">
        <v>0</v>
      </c>
      <c r="AE252" s="436" t="s">
        <v>2100</v>
      </c>
      <c r="AF252" s="433">
        <v>0</v>
      </c>
      <c r="AG252" s="498">
        <v>2</v>
      </c>
      <c r="AH252" s="499" t="s">
        <v>2101</v>
      </c>
      <c r="AI252" s="433">
        <v>0</v>
      </c>
      <c r="AJ252" s="433"/>
      <c r="AK252" s="433"/>
      <c r="AL252" s="433">
        <v>2</v>
      </c>
      <c r="AM252" s="433"/>
      <c r="AN252" s="433"/>
      <c r="AO252" s="433">
        <v>0</v>
      </c>
      <c r="AP252" s="433"/>
      <c r="AQ252" s="433"/>
      <c r="AR252" s="433">
        <v>0</v>
      </c>
      <c r="AS252" s="433"/>
      <c r="AT252" s="433"/>
      <c r="AU252" s="433">
        <v>0</v>
      </c>
      <c r="AV252" s="433"/>
      <c r="AW252" s="433"/>
      <c r="AX252" s="433">
        <v>0</v>
      </c>
      <c r="AY252" s="435"/>
      <c r="AZ252" s="435"/>
      <c r="BA252" s="435">
        <f t="shared" si="10"/>
        <v>1</v>
      </c>
      <c r="BB252" s="435">
        <f t="shared" si="11"/>
        <v>3</v>
      </c>
      <c r="BC252" s="500">
        <f>+IF(BA252=0,+IF(BB252=0,"No programación, No avance",+IF(BB252&gt;0,+IF(BA252=0,BB252/P252))),BB252/BA252)</f>
        <v>3</v>
      </c>
    </row>
    <row r="253" spans="1:55" s="2" customFormat="1" ht="72" customHeight="1">
      <c r="A253" s="701"/>
      <c r="B253" s="715"/>
      <c r="C253" s="433" t="s">
        <v>280</v>
      </c>
      <c r="D253" s="433" t="s">
        <v>2103</v>
      </c>
      <c r="E253" s="433" t="s">
        <v>2104</v>
      </c>
      <c r="F253" s="433" t="s">
        <v>472</v>
      </c>
      <c r="G253" s="433">
        <v>1</v>
      </c>
      <c r="H253" s="433" t="s">
        <v>271</v>
      </c>
      <c r="I253" s="433" t="s">
        <v>73</v>
      </c>
      <c r="J253" s="433" t="s">
        <v>72</v>
      </c>
      <c r="K253" s="433" t="s">
        <v>712</v>
      </c>
      <c r="L253" s="433" t="s">
        <v>1900</v>
      </c>
      <c r="M253" s="434">
        <v>44197</v>
      </c>
      <c r="N253" s="434">
        <v>44561</v>
      </c>
      <c r="O253" s="433">
        <f>+R253+U253+X253+AA253+AD253+AG253+AJ253+AM253+AP253+AS253+AV253+AY253</f>
        <v>2</v>
      </c>
      <c r="P253" s="433">
        <v>6</v>
      </c>
      <c r="Q253" s="433">
        <v>0</v>
      </c>
      <c r="R253" s="433">
        <v>0</v>
      </c>
      <c r="S253" s="433" t="s">
        <v>274</v>
      </c>
      <c r="T253" s="433">
        <v>0</v>
      </c>
      <c r="U253" s="433">
        <v>0</v>
      </c>
      <c r="V253" s="433" t="s">
        <v>274</v>
      </c>
      <c r="W253" s="433">
        <v>1</v>
      </c>
      <c r="X253" s="433">
        <v>0</v>
      </c>
      <c r="Y253" s="436" t="s">
        <v>295</v>
      </c>
      <c r="Z253" s="433">
        <v>0</v>
      </c>
      <c r="AA253" s="433">
        <v>0</v>
      </c>
      <c r="AB253" s="436" t="s">
        <v>2105</v>
      </c>
      <c r="AC253" s="433">
        <v>0</v>
      </c>
      <c r="AD253" s="433">
        <v>0</v>
      </c>
      <c r="AE253" s="436" t="s">
        <v>2106</v>
      </c>
      <c r="AF253" s="433">
        <v>2</v>
      </c>
      <c r="AG253" s="498">
        <v>2</v>
      </c>
      <c r="AH253" s="499" t="s">
        <v>2107</v>
      </c>
      <c r="AI253" s="433">
        <v>0</v>
      </c>
      <c r="AJ253" s="433"/>
      <c r="AK253" s="433"/>
      <c r="AL253" s="433">
        <v>0</v>
      </c>
      <c r="AM253" s="433"/>
      <c r="AN253" s="433"/>
      <c r="AO253" s="433">
        <v>2</v>
      </c>
      <c r="AP253" s="433"/>
      <c r="AQ253" s="433"/>
      <c r="AR253" s="433">
        <v>0</v>
      </c>
      <c r="AS253" s="433"/>
      <c r="AT253" s="433"/>
      <c r="AU253" s="433">
        <v>0</v>
      </c>
      <c r="AV253" s="433"/>
      <c r="AW253" s="433"/>
      <c r="AX253" s="433">
        <v>1</v>
      </c>
      <c r="AY253" s="435"/>
      <c r="AZ253" s="435"/>
      <c r="BA253" s="435">
        <f t="shared" si="10"/>
        <v>3</v>
      </c>
      <c r="BB253" s="435">
        <f t="shared" si="11"/>
        <v>2</v>
      </c>
      <c r="BC253" s="500">
        <f>+IF(BA253=0,+IF(BB253=0,"No programación, No avance",+IF(BB253&gt;0,+IF(BA253=0,BB253/P253))),BB253/BA253)</f>
        <v>0.66666666666666663</v>
      </c>
    </row>
    <row r="254" spans="1:55" s="2" customFormat="1" ht="72" customHeight="1">
      <c r="A254" s="701"/>
      <c r="B254" s="715"/>
      <c r="C254" s="433" t="s">
        <v>280</v>
      </c>
      <c r="D254" s="433" t="s">
        <v>2109</v>
      </c>
      <c r="E254" s="433" t="s">
        <v>2110</v>
      </c>
      <c r="F254" s="433" t="s">
        <v>472</v>
      </c>
      <c r="G254" s="433">
        <v>1</v>
      </c>
      <c r="H254" s="433" t="s">
        <v>271</v>
      </c>
      <c r="I254" s="433" t="s">
        <v>79</v>
      </c>
      <c r="J254" s="433" t="s">
        <v>78</v>
      </c>
      <c r="K254" s="433" t="s">
        <v>2111</v>
      </c>
      <c r="L254" s="433" t="s">
        <v>1900</v>
      </c>
      <c r="M254" s="434">
        <v>44197</v>
      </c>
      <c r="N254" s="434">
        <v>44561</v>
      </c>
      <c r="O254" s="433">
        <f>+R254+U254+X254+AA254+AD254+AG254+AJ254+AM254+AP254+AS254+AV254+AY254</f>
        <v>0.6</v>
      </c>
      <c r="P254" s="433">
        <v>1</v>
      </c>
      <c r="Q254" s="433">
        <v>0</v>
      </c>
      <c r="R254" s="437">
        <v>0</v>
      </c>
      <c r="S254" s="433" t="s">
        <v>288</v>
      </c>
      <c r="T254" s="433">
        <v>0</v>
      </c>
      <c r="U254" s="438">
        <v>0</v>
      </c>
      <c r="V254" s="433" t="s">
        <v>2112</v>
      </c>
      <c r="W254" s="433">
        <v>0</v>
      </c>
      <c r="X254" s="438">
        <v>0</v>
      </c>
      <c r="Y254" s="436" t="s">
        <v>297</v>
      </c>
      <c r="Z254" s="433">
        <v>0</v>
      </c>
      <c r="AA254" s="438">
        <v>0</v>
      </c>
      <c r="AB254" s="436" t="s">
        <v>2113</v>
      </c>
      <c r="AC254" s="433">
        <v>0</v>
      </c>
      <c r="AD254" s="439">
        <v>0</v>
      </c>
      <c r="AE254" s="436" t="s">
        <v>2114</v>
      </c>
      <c r="AF254" s="437">
        <v>0.1</v>
      </c>
      <c r="AG254" s="437">
        <v>0.6</v>
      </c>
      <c r="AH254" s="436" t="s">
        <v>2115</v>
      </c>
      <c r="AI254" s="437">
        <v>0.2</v>
      </c>
      <c r="AJ254" s="433"/>
      <c r="AK254" s="433"/>
      <c r="AL254" s="437">
        <v>0.1</v>
      </c>
      <c r="AM254" s="433"/>
      <c r="AN254" s="433"/>
      <c r="AO254" s="437">
        <v>0.1</v>
      </c>
      <c r="AP254" s="433"/>
      <c r="AQ254" s="433"/>
      <c r="AR254" s="437">
        <v>0.2</v>
      </c>
      <c r="AS254" s="433"/>
      <c r="AT254" s="433"/>
      <c r="AU254" s="437">
        <v>0.2</v>
      </c>
      <c r="AV254" s="433"/>
      <c r="AW254" s="433"/>
      <c r="AX254" s="437">
        <v>0.1</v>
      </c>
      <c r="AY254" s="435"/>
      <c r="AZ254" s="435"/>
      <c r="BA254" s="435">
        <f t="shared" si="10"/>
        <v>0.1</v>
      </c>
      <c r="BB254" s="435">
        <f t="shared" si="11"/>
        <v>0.6</v>
      </c>
      <c r="BC254" s="500">
        <f>+IF(BA254=0,+IF(BB254=0,"No programación, No avance",+IF(BB254&gt;0,+IF(BA254=0,BB254/P254))),BB254/BA254)</f>
        <v>5.9999999999999991</v>
      </c>
    </row>
    <row r="255" spans="1:55" s="2" customFormat="1" ht="72" customHeight="1">
      <c r="A255" s="701"/>
      <c r="B255" s="715"/>
      <c r="C255" s="706" t="s">
        <v>280</v>
      </c>
      <c r="D255" s="706" t="s">
        <v>2117</v>
      </c>
      <c r="E255" s="433" t="s">
        <v>2118</v>
      </c>
      <c r="F255" s="433" t="s">
        <v>472</v>
      </c>
      <c r="G255" s="433">
        <v>0.5</v>
      </c>
      <c r="H255" s="433" t="s">
        <v>271</v>
      </c>
      <c r="I255" s="433" t="s">
        <v>79</v>
      </c>
      <c r="J255" s="433" t="s">
        <v>78</v>
      </c>
      <c r="K255" s="433" t="s">
        <v>127</v>
      </c>
      <c r="L255" s="433" t="s">
        <v>1900</v>
      </c>
      <c r="M255" s="434">
        <v>44197</v>
      </c>
      <c r="N255" s="434">
        <v>44561</v>
      </c>
      <c r="O255" s="433">
        <f>+R255+U255+X255+AA255+AD255+AG255+AJ255+AM255+AP255+AS255+AV255+AY255</f>
        <v>0.3</v>
      </c>
      <c r="P255" s="433">
        <v>1</v>
      </c>
      <c r="Q255" s="433">
        <v>0</v>
      </c>
      <c r="R255" s="437">
        <v>0</v>
      </c>
      <c r="S255" s="433" t="s">
        <v>2119</v>
      </c>
      <c r="T255" s="433">
        <v>0</v>
      </c>
      <c r="U255" s="438">
        <v>0</v>
      </c>
      <c r="V255" s="433" t="s">
        <v>2120</v>
      </c>
      <c r="W255" s="433">
        <v>0</v>
      </c>
      <c r="X255" s="438">
        <v>0</v>
      </c>
      <c r="Y255" s="436" t="s">
        <v>2121</v>
      </c>
      <c r="Z255" s="433">
        <v>0</v>
      </c>
      <c r="AA255" s="438">
        <v>0</v>
      </c>
      <c r="AB255" s="436" t="s">
        <v>2122</v>
      </c>
      <c r="AC255" s="433">
        <v>0</v>
      </c>
      <c r="AD255" s="439">
        <v>0</v>
      </c>
      <c r="AE255" s="436" t="s">
        <v>2123</v>
      </c>
      <c r="AF255" s="437">
        <v>0.5</v>
      </c>
      <c r="AG255" s="437">
        <v>0.3</v>
      </c>
      <c r="AH255" s="436" t="s">
        <v>2124</v>
      </c>
      <c r="AI255" s="433">
        <v>0</v>
      </c>
      <c r="AJ255" s="433"/>
      <c r="AK255" s="433"/>
      <c r="AL255" s="433">
        <v>0</v>
      </c>
      <c r="AM255" s="433"/>
      <c r="AN255" s="433"/>
      <c r="AO255" s="433">
        <v>0</v>
      </c>
      <c r="AP255" s="433"/>
      <c r="AQ255" s="433"/>
      <c r="AR255" s="433">
        <v>0</v>
      </c>
      <c r="AS255" s="433"/>
      <c r="AT255" s="433"/>
      <c r="AU255" s="433">
        <v>0</v>
      </c>
      <c r="AV255" s="433"/>
      <c r="AW255" s="433"/>
      <c r="AX255" s="437">
        <v>0.5</v>
      </c>
      <c r="AY255" s="435"/>
      <c r="AZ255" s="435"/>
      <c r="BA255" s="435">
        <f t="shared" si="10"/>
        <v>0.5</v>
      </c>
      <c r="BB255" s="435">
        <f t="shared" si="11"/>
        <v>0.3</v>
      </c>
      <c r="BC255" s="500">
        <f>+IF(BA255=0,+IF(BB255=0,"No programación, No avance",+IF(BB255&gt;0,+IF(BA255=0,BB255/P255))),BB255/BA255)</f>
        <v>0.6</v>
      </c>
    </row>
    <row r="256" spans="1:55" s="2" customFormat="1" ht="72" customHeight="1">
      <c r="A256" s="701"/>
      <c r="B256" s="715"/>
      <c r="C256" s="706"/>
      <c r="D256" s="706"/>
      <c r="E256" s="433" t="s">
        <v>2126</v>
      </c>
      <c r="F256" s="433" t="s">
        <v>472</v>
      </c>
      <c r="G256" s="433">
        <v>0.5</v>
      </c>
      <c r="H256" s="433" t="s">
        <v>271</v>
      </c>
      <c r="I256" s="433" t="s">
        <v>79</v>
      </c>
      <c r="J256" s="433" t="s">
        <v>78</v>
      </c>
      <c r="K256" s="433" t="s">
        <v>127</v>
      </c>
      <c r="L256" s="433" t="s">
        <v>1900</v>
      </c>
      <c r="M256" s="434">
        <v>44197</v>
      </c>
      <c r="N256" s="434">
        <v>44561</v>
      </c>
      <c r="O256" s="433">
        <f>+R256+U256+X256+AA256+AD256+AG256+AJ256+AM256+AP256+AS256+AV256+AY256</f>
        <v>0.60000000000000009</v>
      </c>
      <c r="P256" s="433">
        <v>1</v>
      </c>
      <c r="Q256" s="433">
        <v>0</v>
      </c>
      <c r="R256" s="437">
        <v>0</v>
      </c>
      <c r="S256" s="433" t="s">
        <v>2119</v>
      </c>
      <c r="T256" s="433">
        <v>0</v>
      </c>
      <c r="U256" s="438">
        <v>0.2</v>
      </c>
      <c r="V256" s="433" t="s">
        <v>299</v>
      </c>
      <c r="W256" s="433">
        <v>0</v>
      </c>
      <c r="X256" s="438">
        <v>0</v>
      </c>
      <c r="Y256" s="436" t="s">
        <v>2127</v>
      </c>
      <c r="Z256" s="433">
        <v>0</v>
      </c>
      <c r="AA256" s="438">
        <v>0</v>
      </c>
      <c r="AB256" s="436" t="s">
        <v>2128</v>
      </c>
      <c r="AC256" s="433">
        <v>0</v>
      </c>
      <c r="AD256" s="439">
        <v>0</v>
      </c>
      <c r="AE256" s="436" t="s">
        <v>2129</v>
      </c>
      <c r="AF256" s="437">
        <v>0.5</v>
      </c>
      <c r="AG256" s="437">
        <v>0.4</v>
      </c>
      <c r="AH256" s="436" t="s">
        <v>2130</v>
      </c>
      <c r="AI256" s="433">
        <v>0</v>
      </c>
      <c r="AJ256" s="433"/>
      <c r="AK256" s="433"/>
      <c r="AL256" s="433">
        <v>0</v>
      </c>
      <c r="AM256" s="433"/>
      <c r="AN256" s="433"/>
      <c r="AO256" s="433">
        <v>0</v>
      </c>
      <c r="AP256" s="433"/>
      <c r="AQ256" s="433"/>
      <c r="AR256" s="433">
        <v>0</v>
      </c>
      <c r="AS256" s="433"/>
      <c r="AT256" s="433"/>
      <c r="AU256" s="433">
        <v>0</v>
      </c>
      <c r="AV256" s="433"/>
      <c r="AW256" s="433"/>
      <c r="AX256" s="437">
        <v>0.5</v>
      </c>
      <c r="AY256" s="435"/>
      <c r="AZ256" s="435"/>
      <c r="BA256" s="435">
        <f t="shared" si="10"/>
        <v>0.5</v>
      </c>
      <c r="BB256" s="435">
        <f t="shared" si="11"/>
        <v>0.60000000000000009</v>
      </c>
      <c r="BC256" s="500">
        <f>+IF(BA256=0,+IF(BB256=0,"No programación, No avance",+IF(BB256&gt;0,+IF(BA256=0,BB256/P256))),BB256/BA256)</f>
        <v>1.2000000000000002</v>
      </c>
    </row>
    <row r="257" spans="1:56" s="2" customFormat="1" ht="72" customHeight="1">
      <c r="A257" s="701"/>
      <c r="B257" s="715"/>
      <c r="C257" s="706" t="s">
        <v>280</v>
      </c>
      <c r="D257" s="706" t="s">
        <v>2132</v>
      </c>
      <c r="E257" s="433" t="s">
        <v>2133</v>
      </c>
      <c r="F257" s="433" t="s">
        <v>472</v>
      </c>
      <c r="G257" s="433">
        <v>0.5</v>
      </c>
      <c r="H257" s="433" t="s">
        <v>271</v>
      </c>
      <c r="I257" s="433" t="s">
        <v>79</v>
      </c>
      <c r="J257" s="433" t="s">
        <v>78</v>
      </c>
      <c r="K257" s="433" t="s">
        <v>712</v>
      </c>
      <c r="L257" s="433" t="s">
        <v>1900</v>
      </c>
      <c r="M257" s="434">
        <v>44197</v>
      </c>
      <c r="N257" s="434">
        <v>44561</v>
      </c>
      <c r="O257" s="433">
        <f>+R257+U257+X257+AA257+AD257+AG257+AJ257+AM257+AP257+AS257+AV257+AY257</f>
        <v>0.6</v>
      </c>
      <c r="P257" s="433">
        <v>1</v>
      </c>
      <c r="Q257" s="433">
        <v>0</v>
      </c>
      <c r="R257" s="437">
        <v>0</v>
      </c>
      <c r="S257" s="433" t="s">
        <v>301</v>
      </c>
      <c r="T257" s="433">
        <v>0</v>
      </c>
      <c r="U257" s="438">
        <v>0</v>
      </c>
      <c r="V257" s="433" t="s">
        <v>301</v>
      </c>
      <c r="W257" s="433">
        <v>0</v>
      </c>
      <c r="X257" s="438">
        <v>0</v>
      </c>
      <c r="Y257" s="436" t="s">
        <v>2134</v>
      </c>
      <c r="Z257" s="437">
        <v>0.25</v>
      </c>
      <c r="AA257" s="437">
        <v>0</v>
      </c>
      <c r="AB257" s="436" t="s">
        <v>2135</v>
      </c>
      <c r="AC257" s="433">
        <v>0</v>
      </c>
      <c r="AD257" s="439">
        <v>0</v>
      </c>
      <c r="AE257" s="436" t="s">
        <v>2136</v>
      </c>
      <c r="AF257" s="433">
        <v>0</v>
      </c>
      <c r="AG257" s="437">
        <v>0.6</v>
      </c>
      <c r="AH257" s="436" t="s">
        <v>2137</v>
      </c>
      <c r="AI257" s="437">
        <v>0.25</v>
      </c>
      <c r="AJ257" s="433"/>
      <c r="AK257" s="433"/>
      <c r="AL257" s="433">
        <v>0</v>
      </c>
      <c r="AM257" s="433"/>
      <c r="AN257" s="433"/>
      <c r="AO257" s="433">
        <v>0</v>
      </c>
      <c r="AP257" s="433"/>
      <c r="AQ257" s="433"/>
      <c r="AR257" s="433">
        <v>0</v>
      </c>
      <c r="AS257" s="433"/>
      <c r="AT257" s="433"/>
      <c r="AU257" s="433">
        <v>0</v>
      </c>
      <c r="AV257" s="433"/>
      <c r="AW257" s="433"/>
      <c r="AX257" s="437">
        <v>0.5</v>
      </c>
      <c r="AY257" s="435"/>
      <c r="AZ257" s="435"/>
      <c r="BA257" s="435">
        <f t="shared" si="10"/>
        <v>0.25</v>
      </c>
      <c r="BB257" s="435">
        <f t="shared" si="11"/>
        <v>0.6</v>
      </c>
      <c r="BC257" s="500">
        <f>+IF(BA257=0,+IF(BB257=0,"No programación, No avance",+IF(BB257&gt;0,+IF(BA257=0,BB257/P257))),BB257/BA257)</f>
        <v>2.4</v>
      </c>
    </row>
    <row r="258" spans="1:56" s="2" customFormat="1" ht="72" customHeight="1">
      <c r="A258" s="701"/>
      <c r="B258" s="715"/>
      <c r="C258" s="706"/>
      <c r="D258" s="706"/>
      <c r="E258" s="433" t="s">
        <v>2139</v>
      </c>
      <c r="F258" s="433" t="s">
        <v>472</v>
      </c>
      <c r="G258" s="433">
        <v>0.5</v>
      </c>
      <c r="H258" s="433" t="s">
        <v>271</v>
      </c>
      <c r="I258" s="433" t="s">
        <v>79</v>
      </c>
      <c r="J258" s="433" t="s">
        <v>78</v>
      </c>
      <c r="K258" s="433" t="s">
        <v>712</v>
      </c>
      <c r="L258" s="433" t="s">
        <v>1900</v>
      </c>
      <c r="M258" s="434">
        <v>44197</v>
      </c>
      <c r="N258" s="434">
        <v>44561</v>
      </c>
      <c r="O258" s="433">
        <f>+R258+U258+X258+AA258+AD258+AG258+AJ258+AM258+AP258+AS258+AV258+AY258</f>
        <v>0.5</v>
      </c>
      <c r="P258" s="433">
        <v>1</v>
      </c>
      <c r="Q258" s="433">
        <v>0</v>
      </c>
      <c r="R258" s="437">
        <v>0</v>
      </c>
      <c r="S258" s="433" t="s">
        <v>301</v>
      </c>
      <c r="T258" s="433">
        <v>0</v>
      </c>
      <c r="U258" s="438">
        <v>0</v>
      </c>
      <c r="V258" s="433" t="s">
        <v>301</v>
      </c>
      <c r="W258" s="437">
        <v>0.25</v>
      </c>
      <c r="X258" s="438">
        <v>0</v>
      </c>
      <c r="Y258" s="436" t="s">
        <v>2140</v>
      </c>
      <c r="Z258" s="433">
        <v>0</v>
      </c>
      <c r="AA258" s="438">
        <v>0</v>
      </c>
      <c r="AB258" s="436" t="s">
        <v>2141</v>
      </c>
      <c r="AC258" s="433">
        <v>0</v>
      </c>
      <c r="AD258" s="439">
        <v>0</v>
      </c>
      <c r="AE258" s="436" t="s">
        <v>2142</v>
      </c>
      <c r="AF258" s="437">
        <v>0.25</v>
      </c>
      <c r="AG258" s="437">
        <v>0.5</v>
      </c>
      <c r="AH258" s="436" t="s">
        <v>2143</v>
      </c>
      <c r="AI258" s="433">
        <v>0</v>
      </c>
      <c r="AJ258" s="433"/>
      <c r="AK258" s="433"/>
      <c r="AL258" s="433">
        <v>0</v>
      </c>
      <c r="AM258" s="433"/>
      <c r="AN258" s="433"/>
      <c r="AO258" s="437">
        <v>0.25</v>
      </c>
      <c r="AP258" s="433"/>
      <c r="AQ258" s="433"/>
      <c r="AR258" s="433">
        <v>0</v>
      </c>
      <c r="AS258" s="433"/>
      <c r="AT258" s="433"/>
      <c r="AU258" s="433">
        <v>0</v>
      </c>
      <c r="AV258" s="433"/>
      <c r="AW258" s="433"/>
      <c r="AX258" s="437">
        <v>0.25</v>
      </c>
      <c r="AY258" s="435"/>
      <c r="AZ258" s="435"/>
      <c r="BA258" s="435">
        <f t="shared" si="10"/>
        <v>0.5</v>
      </c>
      <c r="BB258" s="435">
        <f t="shared" si="11"/>
        <v>0.5</v>
      </c>
      <c r="BC258" s="500">
        <f>+IF(BA258=0,+IF(BB258=0,"No programación, No avance",+IF(BB258&gt;0,+IF(BA258=0,BB258/P258))),BB258/BA258)</f>
        <v>1</v>
      </c>
    </row>
    <row r="259" spans="1:56" s="2" customFormat="1" ht="66.75" customHeight="1" thickBot="1">
      <c r="A259" s="702"/>
      <c r="B259" s="716"/>
      <c r="C259" s="440" t="s">
        <v>280</v>
      </c>
      <c r="D259" s="440" t="s">
        <v>2025</v>
      </c>
      <c r="E259" s="440" t="s">
        <v>2145</v>
      </c>
      <c r="F259" s="440" t="s">
        <v>690</v>
      </c>
      <c r="G259" s="440">
        <v>1</v>
      </c>
      <c r="H259" s="440" t="s">
        <v>271</v>
      </c>
      <c r="I259" s="440" t="s">
        <v>73</v>
      </c>
      <c r="J259" s="440" t="s">
        <v>72</v>
      </c>
      <c r="K259" s="440" t="s">
        <v>712</v>
      </c>
      <c r="L259" s="440" t="s">
        <v>1900</v>
      </c>
      <c r="M259" s="441">
        <v>44197</v>
      </c>
      <c r="N259" s="441">
        <v>44561</v>
      </c>
      <c r="O259" s="440">
        <f>+R259+U259+X259+AA259+AD259+AG259+AJ259+AM259+AP259+AS259+AV259+AY259</f>
        <v>242</v>
      </c>
      <c r="P259" s="440">
        <v>152</v>
      </c>
      <c r="Q259" s="440">
        <v>0</v>
      </c>
      <c r="R259" s="440">
        <v>0</v>
      </c>
      <c r="S259" s="440"/>
      <c r="T259" s="440">
        <v>0</v>
      </c>
      <c r="U259" s="440">
        <v>0</v>
      </c>
      <c r="V259" s="440"/>
      <c r="W259" s="443">
        <v>0</v>
      </c>
      <c r="X259" s="440">
        <v>0</v>
      </c>
      <c r="Y259" s="444"/>
      <c r="Z259" s="440">
        <v>0</v>
      </c>
      <c r="AA259" s="440">
        <v>0</v>
      </c>
      <c r="AB259" s="440" t="s">
        <v>2146</v>
      </c>
      <c r="AC259" s="440">
        <v>0</v>
      </c>
      <c r="AD259" s="440">
        <v>0</v>
      </c>
      <c r="AE259" s="440"/>
      <c r="AF259" s="443">
        <v>0</v>
      </c>
      <c r="AG259" s="440">
        <v>242</v>
      </c>
      <c r="AH259" s="440" t="s">
        <v>2147</v>
      </c>
      <c r="AI259" s="440">
        <v>0</v>
      </c>
      <c r="AJ259" s="440"/>
      <c r="AK259" s="440"/>
      <c r="AL259" s="440">
        <v>0</v>
      </c>
      <c r="AM259" s="440"/>
      <c r="AN259" s="440"/>
      <c r="AO259" s="443">
        <v>0</v>
      </c>
      <c r="AP259" s="440"/>
      <c r="AQ259" s="440"/>
      <c r="AR259" s="440">
        <v>0</v>
      </c>
      <c r="AS259" s="440"/>
      <c r="AT259" s="440"/>
      <c r="AU259" s="440">
        <v>0</v>
      </c>
      <c r="AV259" s="440"/>
      <c r="AW259" s="440"/>
      <c r="AX259" s="440">
        <v>152</v>
      </c>
      <c r="AY259" s="442"/>
      <c r="AZ259" s="442"/>
      <c r="BA259" s="435">
        <f t="shared" si="10"/>
        <v>0</v>
      </c>
      <c r="BB259" s="435">
        <f t="shared" si="11"/>
        <v>242</v>
      </c>
      <c r="BC259" s="507">
        <f>+IF(BA259=0,+IF(BB259=0,"No programación, No avance",+IF(BB259&gt;0,+IF(BA259=0,BB259/P259))),BB259/BA259)</f>
        <v>1.5921052631578947</v>
      </c>
    </row>
    <row r="260" spans="1:56" s="2" customFormat="1" ht="51.75" customHeight="1">
      <c r="A260" s="703" t="s">
        <v>25</v>
      </c>
      <c r="B260" s="738">
        <v>40.5</v>
      </c>
      <c r="C260" s="710" t="s">
        <v>303</v>
      </c>
      <c r="D260" s="710" t="s">
        <v>2149</v>
      </c>
      <c r="E260" s="447" t="s">
        <v>2150</v>
      </c>
      <c r="F260" s="447" t="s">
        <v>690</v>
      </c>
      <c r="G260" s="447">
        <v>0.3</v>
      </c>
      <c r="H260" s="447" t="s">
        <v>306</v>
      </c>
      <c r="I260" s="447" t="s">
        <v>73</v>
      </c>
      <c r="J260" s="447" t="s">
        <v>304</v>
      </c>
      <c r="K260" s="447" t="s">
        <v>66</v>
      </c>
      <c r="L260" s="447" t="s">
        <v>2151</v>
      </c>
      <c r="M260" s="448">
        <v>44197</v>
      </c>
      <c r="N260" s="448">
        <v>44561</v>
      </c>
      <c r="O260" s="447">
        <f>+R260+U260+X260+AA260+AD260+AG260+AJ260+AM260+AP260+AS260+AV260+AY260</f>
        <v>0</v>
      </c>
      <c r="P260" s="447">
        <v>1000</v>
      </c>
      <c r="Q260" s="447">
        <v>0</v>
      </c>
      <c r="R260" s="447">
        <v>0</v>
      </c>
      <c r="S260" s="450" t="s">
        <v>2152</v>
      </c>
      <c r="T260" s="447">
        <v>0</v>
      </c>
      <c r="U260" s="447">
        <v>0</v>
      </c>
      <c r="V260" s="450" t="s">
        <v>2153</v>
      </c>
      <c r="W260" s="447">
        <v>0</v>
      </c>
      <c r="X260" s="447">
        <v>0</v>
      </c>
      <c r="Y260" s="451" t="s">
        <v>2153</v>
      </c>
      <c r="Z260" s="447">
        <v>0</v>
      </c>
      <c r="AA260" s="447">
        <v>0</v>
      </c>
      <c r="AB260" s="451" t="s">
        <v>2154</v>
      </c>
      <c r="AC260" s="447">
        <v>0</v>
      </c>
      <c r="AD260" s="547">
        <v>0</v>
      </c>
      <c r="AE260" s="548" t="s">
        <v>2155</v>
      </c>
      <c r="AF260" s="447">
        <v>0</v>
      </c>
      <c r="AG260" s="547">
        <v>0</v>
      </c>
      <c r="AH260" s="549" t="s">
        <v>2156</v>
      </c>
      <c r="AI260" s="447">
        <v>0</v>
      </c>
      <c r="AJ260" s="447"/>
      <c r="AK260" s="447"/>
      <c r="AL260" s="447">
        <v>0</v>
      </c>
      <c r="AM260" s="447"/>
      <c r="AN260" s="447"/>
      <c r="AO260" s="447">
        <v>0</v>
      </c>
      <c r="AP260" s="447"/>
      <c r="AQ260" s="447"/>
      <c r="AR260" s="447">
        <v>1000</v>
      </c>
      <c r="AS260" s="447"/>
      <c r="AT260" s="447"/>
      <c r="AU260" s="447">
        <v>0</v>
      </c>
      <c r="AV260" s="447"/>
      <c r="AW260" s="447"/>
      <c r="AX260" s="447">
        <v>0</v>
      </c>
      <c r="AY260" s="449"/>
      <c r="AZ260" s="449"/>
      <c r="BA260" s="453">
        <f t="shared" si="10"/>
        <v>0</v>
      </c>
      <c r="BB260" s="413">
        <f t="shared" si="11"/>
        <v>0</v>
      </c>
      <c r="BC260" s="72" t="str">
        <f>+IF(BA260=0,+IF(BB260=0,"No programación, No avance",+IF(BB260&gt;0,+IF(BA260=0,BB260/P260))),BB260/BA260)</f>
        <v>No programación, No avance</v>
      </c>
      <c r="BD260" s="2">
        <f>+AVERAGE(BC260:BC290)</f>
        <v>0.95702787453364424</v>
      </c>
    </row>
    <row r="261" spans="1:56" s="2" customFormat="1" ht="47.25" customHeight="1">
      <c r="A261" s="713"/>
      <c r="B261" s="748"/>
      <c r="C261" s="685"/>
      <c r="D261" s="685"/>
      <c r="E261" s="455" t="s">
        <v>2158</v>
      </c>
      <c r="F261" s="455" t="s">
        <v>472</v>
      </c>
      <c r="G261" s="455">
        <v>0.7</v>
      </c>
      <c r="H261" s="455" t="s">
        <v>306</v>
      </c>
      <c r="I261" s="455" t="s">
        <v>73</v>
      </c>
      <c r="J261" s="455" t="s">
        <v>2159</v>
      </c>
      <c r="K261" s="455" t="s">
        <v>2160</v>
      </c>
      <c r="L261" s="455" t="s">
        <v>2151</v>
      </c>
      <c r="M261" s="456">
        <v>44197</v>
      </c>
      <c r="N261" s="456">
        <v>44561</v>
      </c>
      <c r="O261" s="455">
        <f>+R261+U261+X261+AA261+AD261+AG261+AJ261+AM261+AP261+AS261+AV261+AY261</f>
        <v>0</v>
      </c>
      <c r="P261" s="455">
        <v>1</v>
      </c>
      <c r="Q261" s="455">
        <v>0</v>
      </c>
      <c r="R261" s="455">
        <v>0</v>
      </c>
      <c r="S261" s="463" t="s">
        <v>2161</v>
      </c>
      <c r="T261" s="455">
        <v>0</v>
      </c>
      <c r="U261" s="455">
        <v>0</v>
      </c>
      <c r="V261" s="463" t="s">
        <v>2161</v>
      </c>
      <c r="W261" s="455">
        <v>0</v>
      </c>
      <c r="X261" s="455">
        <v>0</v>
      </c>
      <c r="Y261" s="457" t="s">
        <v>2161</v>
      </c>
      <c r="Z261" s="455">
        <v>0</v>
      </c>
      <c r="AA261" s="455">
        <v>0</v>
      </c>
      <c r="AB261" s="457" t="s">
        <v>2162</v>
      </c>
      <c r="AC261" s="455">
        <v>0</v>
      </c>
      <c r="AD261" s="474">
        <v>0</v>
      </c>
      <c r="AE261" s="475" t="s">
        <v>2163</v>
      </c>
      <c r="AF261" s="455">
        <v>0</v>
      </c>
      <c r="AG261" s="550">
        <v>0</v>
      </c>
      <c r="AH261" s="523" t="s">
        <v>2156</v>
      </c>
      <c r="AI261" s="455">
        <v>0</v>
      </c>
      <c r="AJ261" s="455"/>
      <c r="AK261" s="455"/>
      <c r="AL261" s="455">
        <v>0</v>
      </c>
      <c r="AM261" s="455"/>
      <c r="AN261" s="455"/>
      <c r="AO261" s="455">
        <v>1</v>
      </c>
      <c r="AP261" s="455"/>
      <c r="AQ261" s="455"/>
      <c r="AR261" s="455">
        <v>0</v>
      </c>
      <c r="AS261" s="455"/>
      <c r="AT261" s="455"/>
      <c r="AU261" s="455">
        <v>0</v>
      </c>
      <c r="AV261" s="455"/>
      <c r="AW261" s="455"/>
      <c r="AX261" s="455">
        <v>0</v>
      </c>
      <c r="AY261" s="453"/>
      <c r="AZ261" s="453"/>
      <c r="BA261" s="453">
        <f t="shared" si="10"/>
        <v>0</v>
      </c>
      <c r="BB261" s="413">
        <f t="shared" si="11"/>
        <v>0</v>
      </c>
      <c r="BC261" s="68" t="str">
        <f>+IF(BA261=0,+IF(BB261=0,"No programación, No avance",+IF(BB261&gt;0,+IF(BA261=0,BB261/P261))),BB261/BA261)</f>
        <v>No programación, No avance</v>
      </c>
    </row>
    <row r="262" spans="1:56" s="2" customFormat="1" ht="24" customHeight="1">
      <c r="A262" s="713"/>
      <c r="B262" s="748"/>
      <c r="C262" s="685" t="s">
        <v>308</v>
      </c>
      <c r="D262" s="685" t="s">
        <v>2165</v>
      </c>
      <c r="E262" s="455" t="s">
        <v>2166</v>
      </c>
      <c r="F262" s="455" t="s">
        <v>472</v>
      </c>
      <c r="G262" s="455">
        <v>0.1</v>
      </c>
      <c r="H262" s="455" t="s">
        <v>309</v>
      </c>
      <c r="I262" s="455" t="s">
        <v>73</v>
      </c>
      <c r="J262" s="455" t="s">
        <v>2167</v>
      </c>
      <c r="K262" s="455" t="s">
        <v>2168</v>
      </c>
      <c r="L262" s="455" t="s">
        <v>2169</v>
      </c>
      <c r="M262" s="456">
        <v>44197</v>
      </c>
      <c r="N262" s="456">
        <v>44561</v>
      </c>
      <c r="O262" s="455">
        <f>+R262+U262+X262+AA262+AD262+AG262+AJ262+AM262+AP262+AS262+AV262+AY262</f>
        <v>4723</v>
      </c>
      <c r="P262" s="455">
        <v>3631</v>
      </c>
      <c r="Q262" s="455">
        <v>0</v>
      </c>
      <c r="R262" s="455">
        <v>0</v>
      </c>
      <c r="S262" s="463" t="s">
        <v>2170</v>
      </c>
      <c r="T262" s="455">
        <v>0</v>
      </c>
      <c r="U262" s="455">
        <v>0</v>
      </c>
      <c r="V262" s="463" t="s">
        <v>2153</v>
      </c>
      <c r="W262" s="455">
        <v>0</v>
      </c>
      <c r="X262" s="455">
        <v>0</v>
      </c>
      <c r="Y262" s="457" t="s">
        <v>2153</v>
      </c>
      <c r="Z262" s="455">
        <v>0</v>
      </c>
      <c r="AA262" s="455">
        <v>4603</v>
      </c>
      <c r="AB262" s="457" t="s">
        <v>2171</v>
      </c>
      <c r="AC262" s="455">
        <v>0</v>
      </c>
      <c r="AD262" s="474">
        <v>0</v>
      </c>
      <c r="AE262" s="475" t="s">
        <v>2153</v>
      </c>
      <c r="AF262" s="455">
        <v>0</v>
      </c>
      <c r="AG262" s="550">
        <f>4723-AA262</f>
        <v>120</v>
      </c>
      <c r="AH262" s="523" t="s">
        <v>2172</v>
      </c>
      <c r="AI262" s="455">
        <v>0</v>
      </c>
      <c r="AJ262" s="455"/>
      <c r="AK262" s="455"/>
      <c r="AL262" s="455">
        <v>0</v>
      </c>
      <c r="AM262" s="455"/>
      <c r="AN262" s="455"/>
      <c r="AO262" s="455">
        <v>3631</v>
      </c>
      <c r="AP262" s="455"/>
      <c r="AQ262" s="455"/>
      <c r="AR262" s="455">
        <v>0</v>
      </c>
      <c r="AS262" s="455"/>
      <c r="AT262" s="455"/>
      <c r="AU262" s="455">
        <v>0</v>
      </c>
      <c r="AV262" s="455"/>
      <c r="AW262" s="455"/>
      <c r="AX262" s="455">
        <v>0</v>
      </c>
      <c r="AY262" s="453"/>
      <c r="AZ262" s="453"/>
      <c r="BA262" s="453">
        <f t="shared" si="10"/>
        <v>0</v>
      </c>
      <c r="BB262" s="413">
        <f t="shared" si="11"/>
        <v>4723</v>
      </c>
      <c r="BC262" s="60">
        <f>+IF(BA262=0,+IF(BB262=0,"No programación, No avance",+IF(BB262&gt;0,+IF(BA262=0,BB262/P262))),BB262/BA262)</f>
        <v>1.3007435968052878</v>
      </c>
    </row>
    <row r="263" spans="1:56" s="2" customFormat="1" ht="98.25" customHeight="1">
      <c r="A263" s="713"/>
      <c r="B263" s="748"/>
      <c r="C263" s="685"/>
      <c r="D263" s="685"/>
      <c r="E263" s="455" t="s">
        <v>2174</v>
      </c>
      <c r="F263" s="455" t="s">
        <v>472</v>
      </c>
      <c r="G263" s="455">
        <v>0.15</v>
      </c>
      <c r="H263" s="455" t="s">
        <v>309</v>
      </c>
      <c r="I263" s="455" t="s">
        <v>73</v>
      </c>
      <c r="J263" s="455" t="s">
        <v>2175</v>
      </c>
      <c r="K263" s="455" t="s">
        <v>2176</v>
      </c>
      <c r="L263" s="455" t="s">
        <v>2169</v>
      </c>
      <c r="M263" s="456">
        <v>44197</v>
      </c>
      <c r="N263" s="456">
        <v>44561</v>
      </c>
      <c r="O263" s="455">
        <f>+R263+U263+X263+AA263+AD263+AG263+AJ263+AM263+AP263+AS263+AV263+AY263</f>
        <v>0</v>
      </c>
      <c r="P263" s="455">
        <v>3</v>
      </c>
      <c r="Q263" s="455">
        <v>0</v>
      </c>
      <c r="R263" s="455">
        <v>0</v>
      </c>
      <c r="S263" s="463" t="s">
        <v>2177</v>
      </c>
      <c r="T263" s="455">
        <v>0</v>
      </c>
      <c r="U263" s="455">
        <v>0</v>
      </c>
      <c r="V263" s="463" t="s">
        <v>2178</v>
      </c>
      <c r="W263" s="455">
        <v>0</v>
      </c>
      <c r="X263" s="455">
        <v>0</v>
      </c>
      <c r="Y263" s="455" t="s">
        <v>2153</v>
      </c>
      <c r="Z263" s="455">
        <v>0</v>
      </c>
      <c r="AA263" s="455">
        <v>0</v>
      </c>
      <c r="AB263" s="455" t="s">
        <v>2179</v>
      </c>
      <c r="AC263" s="455">
        <v>0</v>
      </c>
      <c r="AD263" s="474">
        <v>0</v>
      </c>
      <c r="AE263" s="551" t="s">
        <v>2153</v>
      </c>
      <c r="AF263" s="455">
        <v>0</v>
      </c>
      <c r="AG263" s="550">
        <v>0</v>
      </c>
      <c r="AH263" s="523" t="s">
        <v>2180</v>
      </c>
      <c r="AI263" s="455">
        <v>0</v>
      </c>
      <c r="AJ263" s="455"/>
      <c r="AK263" s="455"/>
      <c r="AL263" s="455">
        <v>0</v>
      </c>
      <c r="AM263" s="455"/>
      <c r="AN263" s="455"/>
      <c r="AO263" s="455">
        <v>3</v>
      </c>
      <c r="AP263" s="455"/>
      <c r="AQ263" s="455"/>
      <c r="AR263" s="455">
        <v>0</v>
      </c>
      <c r="AS263" s="455"/>
      <c r="AT263" s="455"/>
      <c r="AU263" s="455">
        <v>0</v>
      </c>
      <c r="AV263" s="455"/>
      <c r="AW263" s="455"/>
      <c r="AX263" s="455">
        <v>0</v>
      </c>
      <c r="AY263" s="453"/>
      <c r="AZ263" s="453"/>
      <c r="BA263" s="453">
        <f t="shared" si="10"/>
        <v>0</v>
      </c>
      <c r="BB263" s="413">
        <f t="shared" si="11"/>
        <v>0</v>
      </c>
      <c r="BC263" s="60" t="str">
        <f>+IF(BA263=0,+IF(BB263=0,"No programación, No avance",+IF(BB263&gt;0,+IF(BA263=0,BB263/P263))),BB263/BA263)</f>
        <v>No programación, No avance</v>
      </c>
    </row>
    <row r="264" spans="1:56" s="2" customFormat="1" ht="60" customHeight="1">
      <c r="A264" s="713"/>
      <c r="B264" s="748"/>
      <c r="C264" s="685"/>
      <c r="D264" s="685"/>
      <c r="E264" s="455" t="s">
        <v>2182</v>
      </c>
      <c r="F264" s="455" t="s">
        <v>472</v>
      </c>
      <c r="G264" s="455">
        <v>0.35</v>
      </c>
      <c r="H264" s="455" t="s">
        <v>309</v>
      </c>
      <c r="I264" s="455" t="s">
        <v>79</v>
      </c>
      <c r="J264" s="455" t="s">
        <v>2183</v>
      </c>
      <c r="K264" s="455" t="s">
        <v>2176</v>
      </c>
      <c r="L264" s="455" t="s">
        <v>2169</v>
      </c>
      <c r="M264" s="456">
        <v>44197</v>
      </c>
      <c r="N264" s="456">
        <v>44561</v>
      </c>
      <c r="O264" s="455">
        <f>+R264+U264+X264+AA264+AD264+AG264+AJ264+AM264+AP264+AS264+AV264+AY264</f>
        <v>0.6</v>
      </c>
      <c r="P264" s="455">
        <v>1</v>
      </c>
      <c r="Q264" s="455">
        <v>0</v>
      </c>
      <c r="R264" s="455">
        <v>0</v>
      </c>
      <c r="S264" s="463" t="s">
        <v>2184</v>
      </c>
      <c r="T264" s="455">
        <v>0</v>
      </c>
      <c r="U264" s="464">
        <v>0</v>
      </c>
      <c r="V264" s="463" t="s">
        <v>2153</v>
      </c>
      <c r="W264" s="455">
        <v>0</v>
      </c>
      <c r="X264" s="466">
        <v>0</v>
      </c>
      <c r="Y264" s="457" t="s">
        <v>2153</v>
      </c>
      <c r="Z264" s="455">
        <v>0</v>
      </c>
      <c r="AA264" s="466">
        <v>0.5</v>
      </c>
      <c r="AB264" s="457" t="s">
        <v>2185</v>
      </c>
      <c r="AC264" s="455">
        <v>0</v>
      </c>
      <c r="AD264" s="552">
        <v>0</v>
      </c>
      <c r="AE264" s="475" t="s">
        <v>2153</v>
      </c>
      <c r="AF264" s="455">
        <v>0</v>
      </c>
      <c r="AG264" s="474">
        <v>0.1</v>
      </c>
      <c r="AH264" s="475" t="s">
        <v>2186</v>
      </c>
      <c r="AI264" s="455">
        <v>0</v>
      </c>
      <c r="AJ264" s="455"/>
      <c r="AK264" s="455"/>
      <c r="AL264" s="455">
        <v>0</v>
      </c>
      <c r="AM264" s="455"/>
      <c r="AN264" s="455"/>
      <c r="AO264" s="455">
        <v>0</v>
      </c>
      <c r="AP264" s="455"/>
      <c r="AQ264" s="455"/>
      <c r="AR264" s="455">
        <v>0</v>
      </c>
      <c r="AS264" s="455"/>
      <c r="AT264" s="455"/>
      <c r="AU264" s="455">
        <v>0</v>
      </c>
      <c r="AV264" s="455"/>
      <c r="AW264" s="455"/>
      <c r="AX264" s="464">
        <v>1</v>
      </c>
      <c r="AY264" s="453"/>
      <c r="AZ264" s="453"/>
      <c r="BA264" s="453">
        <f t="shared" si="10"/>
        <v>0</v>
      </c>
      <c r="BB264" s="413">
        <f t="shared" si="11"/>
        <v>0.6</v>
      </c>
      <c r="BC264" s="60">
        <f>+IF(BA264=0,+IF(BB264=0,"No programación, No avance",+IF(BB264&gt;0,+IF(BA264=0,BB264/P264))),BB264/BA264)</f>
        <v>0.6</v>
      </c>
    </row>
    <row r="265" spans="1:56" s="2" customFormat="1" ht="70.5" customHeight="1">
      <c r="A265" s="713"/>
      <c r="B265" s="748"/>
      <c r="C265" s="685"/>
      <c r="D265" s="685"/>
      <c r="E265" s="455" t="s">
        <v>2188</v>
      </c>
      <c r="F265" s="455" t="s">
        <v>472</v>
      </c>
      <c r="G265" s="455">
        <v>0.25</v>
      </c>
      <c r="H265" s="455" t="s">
        <v>309</v>
      </c>
      <c r="I265" s="455" t="s">
        <v>79</v>
      </c>
      <c r="J265" s="455" t="s">
        <v>2183</v>
      </c>
      <c r="K265" s="455" t="s">
        <v>2176</v>
      </c>
      <c r="L265" s="455" t="s">
        <v>2169</v>
      </c>
      <c r="M265" s="456">
        <v>44197</v>
      </c>
      <c r="N265" s="456">
        <v>44561</v>
      </c>
      <c r="O265" s="455">
        <f>+R265+U265+X265+AA265+AD265+AG265+AJ265+AM265+AP265+AS265+AV265+AY265</f>
        <v>0.6</v>
      </c>
      <c r="P265" s="455">
        <v>1</v>
      </c>
      <c r="Q265" s="455">
        <v>0</v>
      </c>
      <c r="R265" s="455">
        <v>0</v>
      </c>
      <c r="S265" s="463" t="s">
        <v>2189</v>
      </c>
      <c r="T265" s="455">
        <v>0</v>
      </c>
      <c r="U265" s="464">
        <v>0</v>
      </c>
      <c r="V265" s="463" t="s">
        <v>2153</v>
      </c>
      <c r="W265" s="455">
        <v>0</v>
      </c>
      <c r="X265" s="466">
        <v>0</v>
      </c>
      <c r="Y265" s="457" t="s">
        <v>2153</v>
      </c>
      <c r="Z265" s="455">
        <v>0</v>
      </c>
      <c r="AA265" s="466">
        <v>0</v>
      </c>
      <c r="AB265" s="457" t="s">
        <v>2190</v>
      </c>
      <c r="AC265" s="455">
        <v>0</v>
      </c>
      <c r="AD265" s="552">
        <v>0</v>
      </c>
      <c r="AE265" s="475" t="s">
        <v>2153</v>
      </c>
      <c r="AF265" s="455">
        <v>0</v>
      </c>
      <c r="AG265" s="474" t="s">
        <v>2191</v>
      </c>
      <c r="AH265" s="475" t="s">
        <v>2192</v>
      </c>
      <c r="AI265" s="455">
        <v>0</v>
      </c>
      <c r="AJ265" s="455"/>
      <c r="AK265" s="455"/>
      <c r="AL265" s="455">
        <v>0</v>
      </c>
      <c r="AM265" s="455"/>
      <c r="AN265" s="455"/>
      <c r="AO265" s="455">
        <v>0</v>
      </c>
      <c r="AP265" s="455"/>
      <c r="AQ265" s="455"/>
      <c r="AR265" s="464">
        <v>1</v>
      </c>
      <c r="AS265" s="455"/>
      <c r="AT265" s="455"/>
      <c r="AU265" s="455">
        <v>0</v>
      </c>
      <c r="AV265" s="455"/>
      <c r="AW265" s="455"/>
      <c r="AX265" s="455">
        <v>0</v>
      </c>
      <c r="AY265" s="453"/>
      <c r="AZ265" s="453"/>
      <c r="BA265" s="453">
        <f t="shared" si="10"/>
        <v>0</v>
      </c>
      <c r="BB265" s="413">
        <f t="shared" si="11"/>
        <v>0.6</v>
      </c>
      <c r="BC265" s="68">
        <f>+IF(BA265=0,+IF(BB265=0,"No programación, No avance",+IF(BB265&gt;0,+IF(BA265=0,BB265/P265))),BB265/BA265)</f>
        <v>0.6</v>
      </c>
    </row>
    <row r="266" spans="1:56" s="2" customFormat="1" ht="79.5" customHeight="1">
      <c r="A266" s="713"/>
      <c r="B266" s="748"/>
      <c r="C266" s="685"/>
      <c r="D266" s="685"/>
      <c r="E266" s="455" t="s">
        <v>2194</v>
      </c>
      <c r="F266" s="455" t="s">
        <v>472</v>
      </c>
      <c r="G266" s="455">
        <v>0.05</v>
      </c>
      <c r="H266" s="455" t="s">
        <v>309</v>
      </c>
      <c r="I266" s="455" t="s">
        <v>73</v>
      </c>
      <c r="J266" s="455" t="s">
        <v>2195</v>
      </c>
      <c r="K266" s="455" t="s">
        <v>2196</v>
      </c>
      <c r="L266" s="455" t="s">
        <v>2169</v>
      </c>
      <c r="M266" s="456">
        <v>44197</v>
      </c>
      <c r="N266" s="456">
        <v>44561</v>
      </c>
      <c r="O266" s="455">
        <f>+R266+U266+X266+AA266+AD266+AG266+AJ266+AM266+AP266+AS266+AV266+AY266</f>
        <v>0</v>
      </c>
      <c r="P266" s="455">
        <v>1</v>
      </c>
      <c r="Q266" s="455">
        <v>0</v>
      </c>
      <c r="R266" s="455">
        <v>0</v>
      </c>
      <c r="S266" s="463" t="s">
        <v>305</v>
      </c>
      <c r="T266" s="455">
        <v>0</v>
      </c>
      <c r="U266" s="455">
        <v>0</v>
      </c>
      <c r="V266" s="463" t="s">
        <v>305</v>
      </c>
      <c r="W266" s="455">
        <v>0</v>
      </c>
      <c r="X266" s="455">
        <v>0</v>
      </c>
      <c r="Y266" s="457" t="s">
        <v>305</v>
      </c>
      <c r="Z266" s="455">
        <v>0</v>
      </c>
      <c r="AA266" s="455">
        <v>0</v>
      </c>
      <c r="AB266" s="457" t="s">
        <v>2197</v>
      </c>
      <c r="AC266" s="455">
        <v>0</v>
      </c>
      <c r="AD266" s="474">
        <v>0</v>
      </c>
      <c r="AE266" s="475" t="s">
        <v>2153</v>
      </c>
      <c r="AF266" s="455">
        <v>0</v>
      </c>
      <c r="AG266" s="550">
        <v>0</v>
      </c>
      <c r="AH266" s="523" t="s">
        <v>2198</v>
      </c>
      <c r="AI266" s="455">
        <v>0</v>
      </c>
      <c r="AJ266" s="455"/>
      <c r="AK266" s="455"/>
      <c r="AL266" s="455">
        <v>0</v>
      </c>
      <c r="AM266" s="455"/>
      <c r="AN266" s="455"/>
      <c r="AO266" s="455">
        <v>0</v>
      </c>
      <c r="AP266" s="455"/>
      <c r="AQ266" s="455"/>
      <c r="AR266" s="455">
        <v>1</v>
      </c>
      <c r="AS266" s="455"/>
      <c r="AT266" s="455"/>
      <c r="AU266" s="455">
        <v>0</v>
      </c>
      <c r="AV266" s="455"/>
      <c r="AW266" s="455"/>
      <c r="AX266" s="455">
        <v>0</v>
      </c>
      <c r="AY266" s="453"/>
      <c r="AZ266" s="453"/>
      <c r="BA266" s="453">
        <f t="shared" si="10"/>
        <v>0</v>
      </c>
      <c r="BB266" s="413">
        <f t="shared" si="11"/>
        <v>0</v>
      </c>
      <c r="BC266" s="60" t="str">
        <f>+IF(BA266=0,+IF(BB266=0,"No programación, No avance",+IF(BB266&gt;0,+IF(BA266=0,BB266/P266))),BB266/BA266)</f>
        <v>No programación, No avance</v>
      </c>
    </row>
    <row r="267" spans="1:56" s="2" customFormat="1" ht="120">
      <c r="A267" s="713"/>
      <c r="B267" s="748"/>
      <c r="C267" s="685"/>
      <c r="D267" s="685"/>
      <c r="E267" s="455" t="s">
        <v>2200</v>
      </c>
      <c r="F267" s="455" t="s">
        <v>690</v>
      </c>
      <c r="G267" s="455">
        <v>0.1</v>
      </c>
      <c r="H267" s="455" t="s">
        <v>309</v>
      </c>
      <c r="I267" s="455" t="s">
        <v>73</v>
      </c>
      <c r="J267" s="455" t="s">
        <v>2201</v>
      </c>
      <c r="K267" s="455" t="s">
        <v>2202</v>
      </c>
      <c r="L267" s="455" t="s">
        <v>2169</v>
      </c>
      <c r="M267" s="456">
        <v>44197</v>
      </c>
      <c r="N267" s="456">
        <v>44561</v>
      </c>
      <c r="O267" s="455">
        <f>+R267+U267+X267+AA267+AD267+AG267+AJ267+AM267+AP267+AS267+AV267+AY267</f>
        <v>404470</v>
      </c>
      <c r="P267" s="455">
        <v>2600000</v>
      </c>
      <c r="Q267" s="455">
        <v>0</v>
      </c>
      <c r="R267" s="455">
        <v>0</v>
      </c>
      <c r="S267" s="463" t="s">
        <v>2203</v>
      </c>
      <c r="T267" s="455">
        <v>0</v>
      </c>
      <c r="U267" s="455">
        <v>0</v>
      </c>
      <c r="V267" s="463" t="s">
        <v>2153</v>
      </c>
      <c r="W267" s="455">
        <v>0</v>
      </c>
      <c r="X267" s="455">
        <v>0</v>
      </c>
      <c r="Y267" s="457" t="s">
        <v>2153</v>
      </c>
      <c r="Z267" s="455">
        <v>0</v>
      </c>
      <c r="AA267" s="455">
        <v>404470</v>
      </c>
      <c r="AB267" s="457" t="s">
        <v>2204</v>
      </c>
      <c r="AC267" s="455">
        <v>0</v>
      </c>
      <c r="AD267" s="474">
        <v>0</v>
      </c>
      <c r="AE267" s="475" t="s">
        <v>2153</v>
      </c>
      <c r="AF267" s="455">
        <v>0</v>
      </c>
      <c r="AG267" s="550">
        <v>0</v>
      </c>
      <c r="AH267" s="523" t="s">
        <v>2205</v>
      </c>
      <c r="AI267" s="455">
        <v>0</v>
      </c>
      <c r="AJ267" s="455"/>
      <c r="AK267" s="455"/>
      <c r="AL267" s="455">
        <v>0</v>
      </c>
      <c r="AM267" s="455"/>
      <c r="AN267" s="455"/>
      <c r="AO267" s="455">
        <v>0</v>
      </c>
      <c r="AP267" s="455"/>
      <c r="AQ267" s="455"/>
      <c r="AR267" s="455">
        <v>0</v>
      </c>
      <c r="AS267" s="455"/>
      <c r="AT267" s="455"/>
      <c r="AU267" s="455">
        <v>0</v>
      </c>
      <c r="AV267" s="455"/>
      <c r="AW267" s="455"/>
      <c r="AX267" s="455">
        <v>2600000</v>
      </c>
      <c r="AY267" s="453"/>
      <c r="AZ267" s="453"/>
      <c r="BA267" s="453">
        <f t="shared" ref="BA267:BA330" si="12">+Q267+T267+W267+Z267+AC267+AF267</f>
        <v>0</v>
      </c>
      <c r="BB267" s="413">
        <f t="shared" ref="BB267:BB330" si="13">+R267+U267+X267+AA267+AD267+AG267</f>
        <v>404470</v>
      </c>
      <c r="BC267" s="68">
        <f>+IF(BA267=0,+IF(BB267=0,"No programación, No avance",+IF(BB267&gt;0,+IF(BA267=0,BB267/P267))),BB267/BA267)</f>
        <v>0.15556538461538461</v>
      </c>
    </row>
    <row r="268" spans="1:56" s="2" customFormat="1" ht="24" customHeight="1">
      <c r="A268" s="713"/>
      <c r="B268" s="748"/>
      <c r="C268" s="685" t="s">
        <v>311</v>
      </c>
      <c r="D268" s="685" t="s">
        <v>2207</v>
      </c>
      <c r="E268" s="455" t="s">
        <v>2208</v>
      </c>
      <c r="F268" s="455" t="s">
        <v>472</v>
      </c>
      <c r="G268" s="455">
        <v>0.2</v>
      </c>
      <c r="H268" s="455" t="s">
        <v>312</v>
      </c>
      <c r="I268" s="455" t="s">
        <v>73</v>
      </c>
      <c r="J268" s="455" t="s">
        <v>304</v>
      </c>
      <c r="K268" s="455" t="s">
        <v>2176</v>
      </c>
      <c r="L268" s="455" t="s">
        <v>2169</v>
      </c>
      <c r="M268" s="456">
        <v>44197</v>
      </c>
      <c r="N268" s="456">
        <v>44561</v>
      </c>
      <c r="O268" s="455">
        <f>+R268+U268+X268+AA268+AD268+AG268+AJ268+AM268+AP268+AS268+AV268+AY268</f>
        <v>0</v>
      </c>
      <c r="P268" s="455">
        <v>750</v>
      </c>
      <c r="Q268" s="455">
        <v>0</v>
      </c>
      <c r="R268" s="455">
        <v>0</v>
      </c>
      <c r="S268" s="463" t="s">
        <v>305</v>
      </c>
      <c r="T268" s="455">
        <v>0</v>
      </c>
      <c r="U268" s="455">
        <v>0</v>
      </c>
      <c r="V268" s="463" t="s">
        <v>305</v>
      </c>
      <c r="W268" s="455">
        <v>0</v>
      </c>
      <c r="X268" s="455">
        <v>0</v>
      </c>
      <c r="Y268" s="457" t="s">
        <v>305</v>
      </c>
      <c r="Z268" s="455">
        <v>0</v>
      </c>
      <c r="AA268" s="455">
        <v>0</v>
      </c>
      <c r="AB268" s="457" t="s">
        <v>305</v>
      </c>
      <c r="AC268" s="455">
        <v>0</v>
      </c>
      <c r="AD268" s="474">
        <v>0</v>
      </c>
      <c r="AE268" s="475" t="s">
        <v>305</v>
      </c>
      <c r="AF268" s="455">
        <v>750</v>
      </c>
      <c r="AG268" s="550">
        <v>0</v>
      </c>
      <c r="AH268" s="523" t="s">
        <v>2153</v>
      </c>
      <c r="AI268" s="455">
        <v>0</v>
      </c>
      <c r="AJ268" s="455"/>
      <c r="AK268" s="455"/>
      <c r="AL268" s="455">
        <v>0</v>
      </c>
      <c r="AM268" s="455"/>
      <c r="AN268" s="455"/>
      <c r="AO268" s="455">
        <v>0</v>
      </c>
      <c r="AP268" s="455"/>
      <c r="AQ268" s="455"/>
      <c r="AR268" s="455">
        <v>0</v>
      </c>
      <c r="AS268" s="455"/>
      <c r="AT268" s="455"/>
      <c r="AU268" s="455">
        <v>0</v>
      </c>
      <c r="AV268" s="455"/>
      <c r="AW268" s="455"/>
      <c r="AX268" s="455">
        <v>0</v>
      </c>
      <c r="AY268" s="453"/>
      <c r="AZ268" s="453"/>
      <c r="BA268" s="453">
        <f t="shared" si="12"/>
        <v>750</v>
      </c>
      <c r="BB268" s="413">
        <f t="shared" si="13"/>
        <v>0</v>
      </c>
      <c r="BC268" s="60">
        <f>+IF(BA268=0,+IF(BB268=0,"No programación, No avance",+IF(BB268&gt;0,+IF(BA268=0,BB268/P268))),BB268/BA268)</f>
        <v>0</v>
      </c>
    </row>
    <row r="269" spans="1:56" s="2" customFormat="1" ht="60">
      <c r="A269" s="713"/>
      <c r="B269" s="748"/>
      <c r="C269" s="685"/>
      <c r="D269" s="685"/>
      <c r="E269" s="455" t="s">
        <v>2210</v>
      </c>
      <c r="F269" s="455" t="s">
        <v>690</v>
      </c>
      <c r="G269" s="455">
        <v>0.2</v>
      </c>
      <c r="H269" s="455" t="s">
        <v>312</v>
      </c>
      <c r="I269" s="455" t="s">
        <v>79</v>
      </c>
      <c r="J269" s="455" t="s">
        <v>2183</v>
      </c>
      <c r="K269" s="455" t="s">
        <v>2176</v>
      </c>
      <c r="L269" s="455" t="s">
        <v>2169</v>
      </c>
      <c r="M269" s="456">
        <v>44197</v>
      </c>
      <c r="N269" s="456">
        <v>44561</v>
      </c>
      <c r="O269" s="455">
        <f>+R269+U269+X269+AA269+AD269+AG269+AJ269+AM269+AP269+AS269+AV269+AY269</f>
        <v>0</v>
      </c>
      <c r="P269" s="455">
        <v>1.9E-2</v>
      </c>
      <c r="Q269" s="455">
        <v>0</v>
      </c>
      <c r="R269" s="455">
        <v>0</v>
      </c>
      <c r="S269" s="463" t="s">
        <v>2211</v>
      </c>
      <c r="T269" s="455">
        <v>0</v>
      </c>
      <c r="U269" s="466">
        <v>0</v>
      </c>
      <c r="V269" s="463" t="s">
        <v>2212</v>
      </c>
      <c r="W269" s="455">
        <v>0</v>
      </c>
      <c r="X269" s="466">
        <v>0</v>
      </c>
      <c r="Y269" s="457" t="s">
        <v>2212</v>
      </c>
      <c r="Z269" s="455">
        <v>0</v>
      </c>
      <c r="AA269" s="466">
        <v>0</v>
      </c>
      <c r="AB269" s="457" t="s">
        <v>2212</v>
      </c>
      <c r="AC269" s="455">
        <v>0</v>
      </c>
      <c r="AD269" s="552">
        <v>0</v>
      </c>
      <c r="AE269" s="475" t="s">
        <v>2212</v>
      </c>
      <c r="AF269" s="455">
        <v>0</v>
      </c>
      <c r="AG269" s="550">
        <v>0</v>
      </c>
      <c r="AH269" s="523" t="s">
        <v>2212</v>
      </c>
      <c r="AI269" s="455">
        <v>0</v>
      </c>
      <c r="AJ269" s="455"/>
      <c r="AK269" s="455"/>
      <c r="AL269" s="455">
        <v>0</v>
      </c>
      <c r="AM269" s="455"/>
      <c r="AN269" s="455"/>
      <c r="AO269" s="455">
        <v>0</v>
      </c>
      <c r="AP269" s="455"/>
      <c r="AQ269" s="455"/>
      <c r="AR269" s="455">
        <v>0</v>
      </c>
      <c r="AS269" s="455"/>
      <c r="AT269" s="455"/>
      <c r="AU269" s="455">
        <v>0</v>
      </c>
      <c r="AV269" s="455"/>
      <c r="AW269" s="455"/>
      <c r="AX269" s="480">
        <v>1.9E-2</v>
      </c>
      <c r="AY269" s="453"/>
      <c r="AZ269" s="453"/>
      <c r="BA269" s="453">
        <f t="shared" si="12"/>
        <v>0</v>
      </c>
      <c r="BB269" s="413">
        <f t="shared" si="13"/>
        <v>0</v>
      </c>
      <c r="BC269" s="60" t="str">
        <f>+IF(BA269=0,+IF(BB269=0,"No programación, No avance",+IF(BB269&gt;0,+IF(BA269=0,BB269/P269))),BB269/BA269)</f>
        <v>No programación, No avance</v>
      </c>
    </row>
    <row r="270" spans="1:56" s="2" customFormat="1" ht="84">
      <c r="A270" s="713"/>
      <c r="B270" s="748"/>
      <c r="C270" s="685"/>
      <c r="D270" s="685"/>
      <c r="E270" s="455" t="s">
        <v>2214</v>
      </c>
      <c r="F270" s="455" t="s">
        <v>472</v>
      </c>
      <c r="G270" s="455">
        <v>0.6</v>
      </c>
      <c r="H270" s="455" t="s">
        <v>315</v>
      </c>
      <c r="I270" s="455" t="s">
        <v>79</v>
      </c>
      <c r="J270" s="455" t="s">
        <v>2183</v>
      </c>
      <c r="K270" s="455" t="s">
        <v>2176</v>
      </c>
      <c r="L270" s="455" t="s">
        <v>2169</v>
      </c>
      <c r="M270" s="456">
        <v>44197</v>
      </c>
      <c r="N270" s="456">
        <v>44561</v>
      </c>
      <c r="O270" s="455">
        <f>+R270+U270+X270+AA270+AD270+AG270+AJ270+AM270+AP270+AS270+AV270+AY270</f>
        <v>0.4</v>
      </c>
      <c r="P270" s="455">
        <v>1</v>
      </c>
      <c r="Q270" s="455">
        <v>0</v>
      </c>
      <c r="R270" s="455">
        <v>0</v>
      </c>
      <c r="S270" s="463" t="s">
        <v>2215</v>
      </c>
      <c r="T270" s="455">
        <v>0</v>
      </c>
      <c r="U270" s="464">
        <v>0</v>
      </c>
      <c r="V270" s="463" t="s">
        <v>2153</v>
      </c>
      <c r="W270" s="455">
        <v>0</v>
      </c>
      <c r="X270" s="466">
        <v>0</v>
      </c>
      <c r="Y270" s="457" t="s">
        <v>2153</v>
      </c>
      <c r="Z270" s="455">
        <v>0</v>
      </c>
      <c r="AA270" s="464">
        <v>0.4</v>
      </c>
      <c r="AB270" s="457" t="s">
        <v>2216</v>
      </c>
      <c r="AC270" s="455">
        <v>0</v>
      </c>
      <c r="AD270" s="552">
        <v>0</v>
      </c>
      <c r="AE270" s="475" t="s">
        <v>2153</v>
      </c>
      <c r="AF270" s="455">
        <v>0</v>
      </c>
      <c r="AG270" s="550">
        <v>0</v>
      </c>
      <c r="AH270" s="523" t="s">
        <v>2153</v>
      </c>
      <c r="AI270" s="455">
        <v>0</v>
      </c>
      <c r="AJ270" s="455"/>
      <c r="AK270" s="455"/>
      <c r="AL270" s="455">
        <v>0</v>
      </c>
      <c r="AM270" s="455"/>
      <c r="AN270" s="455"/>
      <c r="AO270" s="455">
        <v>0</v>
      </c>
      <c r="AP270" s="455"/>
      <c r="AQ270" s="455"/>
      <c r="AR270" s="455">
        <v>0</v>
      </c>
      <c r="AS270" s="455"/>
      <c r="AT270" s="455"/>
      <c r="AU270" s="455">
        <v>0</v>
      </c>
      <c r="AV270" s="455"/>
      <c r="AW270" s="455"/>
      <c r="AX270" s="464">
        <v>1</v>
      </c>
      <c r="AY270" s="453"/>
      <c r="AZ270" s="453"/>
      <c r="BA270" s="453">
        <f t="shared" si="12"/>
        <v>0</v>
      </c>
      <c r="BB270" s="413">
        <f t="shared" si="13"/>
        <v>0.4</v>
      </c>
      <c r="BC270" s="60">
        <f>+IF(BA270=0,+IF(BB270=0,"No programación, No avance",+IF(BB270&gt;0,+IF(BA270=0,BB270/P270))),BB270/BA270)</f>
        <v>0.4</v>
      </c>
    </row>
    <row r="271" spans="1:56" s="2" customFormat="1" ht="36" customHeight="1">
      <c r="A271" s="713"/>
      <c r="B271" s="748"/>
      <c r="C271" s="685" t="s">
        <v>314</v>
      </c>
      <c r="D271" s="685" t="s">
        <v>2218</v>
      </c>
      <c r="E271" s="455" t="s">
        <v>2219</v>
      </c>
      <c r="F271" s="455" t="s">
        <v>531</v>
      </c>
      <c r="G271" s="455">
        <v>0.35</v>
      </c>
      <c r="H271" s="455" t="s">
        <v>315</v>
      </c>
      <c r="I271" s="455" t="s">
        <v>73</v>
      </c>
      <c r="J271" s="455" t="s">
        <v>2220</v>
      </c>
      <c r="K271" s="455" t="s">
        <v>2183</v>
      </c>
      <c r="L271" s="455" t="s">
        <v>2169</v>
      </c>
      <c r="M271" s="456">
        <v>44197</v>
      </c>
      <c r="N271" s="456">
        <v>44561</v>
      </c>
      <c r="O271" s="455">
        <f>+R271+U271+X271+AA271+AD271+AG271+AJ271+AM271+AP271+AS271+AV271+AY271</f>
        <v>0.25</v>
      </c>
      <c r="P271" s="455">
        <v>2</v>
      </c>
      <c r="Q271" s="455">
        <v>0</v>
      </c>
      <c r="R271" s="455">
        <v>0</v>
      </c>
      <c r="S271" s="463" t="s">
        <v>305</v>
      </c>
      <c r="T271" s="455">
        <v>0</v>
      </c>
      <c r="U271" s="455">
        <v>0</v>
      </c>
      <c r="V271" s="463" t="s">
        <v>305</v>
      </c>
      <c r="W271" s="455">
        <v>0</v>
      </c>
      <c r="X271" s="455">
        <v>0</v>
      </c>
      <c r="Y271" s="457" t="s">
        <v>305</v>
      </c>
      <c r="Z271" s="455">
        <v>0</v>
      </c>
      <c r="AA271" s="464">
        <v>0.25</v>
      </c>
      <c r="AB271" s="457" t="s">
        <v>2221</v>
      </c>
      <c r="AC271" s="455">
        <v>0</v>
      </c>
      <c r="AD271" s="474">
        <v>0</v>
      </c>
      <c r="AE271" s="475" t="s">
        <v>305</v>
      </c>
      <c r="AF271" s="455">
        <v>0</v>
      </c>
      <c r="AG271" s="550">
        <v>0</v>
      </c>
      <c r="AH271" s="523" t="s">
        <v>305</v>
      </c>
      <c r="AI271" s="455">
        <v>0</v>
      </c>
      <c r="AJ271" s="455"/>
      <c r="AK271" s="455"/>
      <c r="AL271" s="455">
        <v>0</v>
      </c>
      <c r="AM271" s="455"/>
      <c r="AN271" s="455"/>
      <c r="AO271" s="455">
        <v>2</v>
      </c>
      <c r="AP271" s="455"/>
      <c r="AQ271" s="455"/>
      <c r="AR271" s="455">
        <v>0</v>
      </c>
      <c r="AS271" s="455"/>
      <c r="AT271" s="455"/>
      <c r="AU271" s="455">
        <v>0</v>
      </c>
      <c r="AV271" s="455"/>
      <c r="AW271" s="455"/>
      <c r="AX271" s="455">
        <v>0</v>
      </c>
      <c r="AY271" s="453"/>
      <c r="AZ271" s="453"/>
      <c r="BA271" s="453">
        <f t="shared" si="12"/>
        <v>0</v>
      </c>
      <c r="BB271" s="413">
        <f t="shared" si="13"/>
        <v>0.25</v>
      </c>
      <c r="BC271" s="68">
        <f>+IF(BA271=0,+IF(BB271=0,"No programación, No avance",+IF(BB271&gt;0,+IF(BA271=0,BB271/P271))),BB271/BA271)</f>
        <v>0.125</v>
      </c>
    </row>
    <row r="272" spans="1:56" s="2" customFormat="1" ht="48">
      <c r="A272" s="713"/>
      <c r="B272" s="748"/>
      <c r="C272" s="685"/>
      <c r="D272" s="685"/>
      <c r="E272" s="455" t="s">
        <v>2223</v>
      </c>
      <c r="F272" s="455" t="s">
        <v>531</v>
      </c>
      <c r="G272" s="455">
        <v>0.35</v>
      </c>
      <c r="H272" s="455" t="s">
        <v>312</v>
      </c>
      <c r="I272" s="455" t="s">
        <v>73</v>
      </c>
      <c r="J272" s="455" t="s">
        <v>2220</v>
      </c>
      <c r="K272" s="455" t="s">
        <v>2183</v>
      </c>
      <c r="L272" s="455" t="s">
        <v>2169</v>
      </c>
      <c r="M272" s="456">
        <v>44197</v>
      </c>
      <c r="N272" s="456">
        <v>44561</v>
      </c>
      <c r="O272" s="455">
        <f>+R272+U272+X272+AA272+AD272+AG272+AJ272+AM272+AP272+AS272+AV272+AY272</f>
        <v>0</v>
      </c>
      <c r="P272" s="455">
        <v>2</v>
      </c>
      <c r="Q272" s="455">
        <v>0</v>
      </c>
      <c r="R272" s="455">
        <v>0</v>
      </c>
      <c r="S272" s="463" t="s">
        <v>305</v>
      </c>
      <c r="T272" s="455">
        <v>0</v>
      </c>
      <c r="U272" s="455">
        <v>0</v>
      </c>
      <c r="V272" s="463" t="s">
        <v>305</v>
      </c>
      <c r="W272" s="455">
        <v>0</v>
      </c>
      <c r="X272" s="455">
        <v>0</v>
      </c>
      <c r="Y272" s="457" t="s">
        <v>305</v>
      </c>
      <c r="Z272" s="455">
        <v>0</v>
      </c>
      <c r="AA272" s="455">
        <v>0</v>
      </c>
      <c r="AB272" s="457" t="s">
        <v>305</v>
      </c>
      <c r="AC272" s="455">
        <v>0</v>
      </c>
      <c r="AD272" s="474">
        <v>0</v>
      </c>
      <c r="AE272" s="475" t="s">
        <v>305</v>
      </c>
      <c r="AF272" s="455">
        <v>0</v>
      </c>
      <c r="AG272" s="550">
        <v>0</v>
      </c>
      <c r="AH272" s="523" t="s">
        <v>305</v>
      </c>
      <c r="AI272" s="455">
        <v>0</v>
      </c>
      <c r="AJ272" s="455"/>
      <c r="AK272" s="455"/>
      <c r="AL272" s="455">
        <v>0</v>
      </c>
      <c r="AM272" s="455"/>
      <c r="AN272" s="455"/>
      <c r="AO272" s="455">
        <v>2</v>
      </c>
      <c r="AP272" s="455"/>
      <c r="AQ272" s="455"/>
      <c r="AR272" s="455">
        <v>0</v>
      </c>
      <c r="AS272" s="455"/>
      <c r="AT272" s="455"/>
      <c r="AU272" s="455">
        <v>0</v>
      </c>
      <c r="AV272" s="455"/>
      <c r="AW272" s="455"/>
      <c r="AX272" s="455">
        <v>0</v>
      </c>
      <c r="AY272" s="453"/>
      <c r="AZ272" s="453"/>
      <c r="BA272" s="453">
        <f t="shared" si="12"/>
        <v>0</v>
      </c>
      <c r="BB272" s="413">
        <f t="shared" si="13"/>
        <v>0</v>
      </c>
      <c r="BC272" s="68" t="str">
        <f>+IF(BA272=0,+IF(BB272=0,"No programación, No avance",+IF(BB272&gt;0,+IF(BA272=0,BB272/P272))),BB272/BA272)</f>
        <v>No programación, No avance</v>
      </c>
    </row>
    <row r="273" spans="1:55" s="2" customFormat="1" ht="84">
      <c r="A273" s="713"/>
      <c r="B273" s="748"/>
      <c r="C273" s="685"/>
      <c r="D273" s="685"/>
      <c r="E273" s="455" t="s">
        <v>2225</v>
      </c>
      <c r="F273" s="455" t="s">
        <v>531</v>
      </c>
      <c r="G273" s="455">
        <v>0.15</v>
      </c>
      <c r="H273" s="455" t="s">
        <v>315</v>
      </c>
      <c r="I273" s="455" t="s">
        <v>73</v>
      </c>
      <c r="J273" s="455" t="s">
        <v>2220</v>
      </c>
      <c r="K273" s="455" t="s">
        <v>2183</v>
      </c>
      <c r="L273" s="455" t="s">
        <v>2169</v>
      </c>
      <c r="M273" s="456">
        <v>44197</v>
      </c>
      <c r="N273" s="456">
        <v>44561</v>
      </c>
      <c r="O273" s="455">
        <f>+R273+U273+X273+AA273+AD273+AG273+AJ273+AM273+AP273+AS273+AV273+AY273</f>
        <v>0.9</v>
      </c>
      <c r="P273" s="455">
        <v>1</v>
      </c>
      <c r="Q273" s="455">
        <v>0</v>
      </c>
      <c r="R273" s="455">
        <v>0</v>
      </c>
      <c r="S273" s="463" t="s">
        <v>305</v>
      </c>
      <c r="T273" s="455">
        <v>0</v>
      </c>
      <c r="U273" s="455">
        <v>0</v>
      </c>
      <c r="V273" s="463" t="s">
        <v>305</v>
      </c>
      <c r="W273" s="455">
        <v>0</v>
      </c>
      <c r="X273" s="455">
        <v>0</v>
      </c>
      <c r="Y273" s="457" t="s">
        <v>305</v>
      </c>
      <c r="Z273" s="455">
        <v>0</v>
      </c>
      <c r="AA273" s="464">
        <v>0.9</v>
      </c>
      <c r="AB273" s="457" t="s">
        <v>2226</v>
      </c>
      <c r="AC273" s="455">
        <v>0</v>
      </c>
      <c r="AD273" s="474">
        <v>0</v>
      </c>
      <c r="AE273" s="475" t="s">
        <v>305</v>
      </c>
      <c r="AF273" s="455">
        <v>0</v>
      </c>
      <c r="AG273" s="550">
        <v>0</v>
      </c>
      <c r="AH273" s="523" t="s">
        <v>305</v>
      </c>
      <c r="AI273" s="455">
        <v>0</v>
      </c>
      <c r="AJ273" s="455"/>
      <c r="AK273" s="455"/>
      <c r="AL273" s="455">
        <v>0</v>
      </c>
      <c r="AM273" s="455"/>
      <c r="AN273" s="455"/>
      <c r="AO273" s="455">
        <v>1</v>
      </c>
      <c r="AP273" s="455"/>
      <c r="AQ273" s="455"/>
      <c r="AR273" s="455">
        <v>0</v>
      </c>
      <c r="AS273" s="455"/>
      <c r="AT273" s="455"/>
      <c r="AU273" s="455">
        <v>0</v>
      </c>
      <c r="AV273" s="455"/>
      <c r="AW273" s="455"/>
      <c r="AX273" s="455">
        <v>0</v>
      </c>
      <c r="AY273" s="453"/>
      <c r="AZ273" s="453"/>
      <c r="BA273" s="453">
        <f t="shared" si="12"/>
        <v>0</v>
      </c>
      <c r="BB273" s="413">
        <f t="shared" si="13"/>
        <v>0.9</v>
      </c>
      <c r="BC273" s="68">
        <f>+IF(BA273=0,+IF(BB273=0,"No programación, No avance",+IF(BB273&gt;0,+IF(BA273=0,BB273/P273))),BB273/BA273)</f>
        <v>0.9</v>
      </c>
    </row>
    <row r="274" spans="1:55" s="2" customFormat="1" ht="60">
      <c r="A274" s="713"/>
      <c r="B274" s="748"/>
      <c r="C274" s="685"/>
      <c r="D274" s="685"/>
      <c r="E274" s="455" t="s">
        <v>2228</v>
      </c>
      <c r="F274" s="455" t="s">
        <v>531</v>
      </c>
      <c r="G274" s="455">
        <v>0.15</v>
      </c>
      <c r="H274" s="455" t="s">
        <v>315</v>
      </c>
      <c r="I274" s="455" t="s">
        <v>73</v>
      </c>
      <c r="J274" s="455" t="s">
        <v>2220</v>
      </c>
      <c r="K274" s="455" t="s">
        <v>2183</v>
      </c>
      <c r="L274" s="455" t="s">
        <v>2169</v>
      </c>
      <c r="M274" s="456">
        <v>44197</v>
      </c>
      <c r="N274" s="456">
        <v>44561</v>
      </c>
      <c r="O274" s="455">
        <f>+R274+U274+X274+AA274+AD274+AG274+AJ274+AM274+AP274+AS274+AV274+AY274</f>
        <v>0</v>
      </c>
      <c r="P274" s="455">
        <v>1</v>
      </c>
      <c r="Q274" s="455">
        <v>0</v>
      </c>
      <c r="R274" s="455">
        <v>0</v>
      </c>
      <c r="S274" s="463" t="s">
        <v>305</v>
      </c>
      <c r="T274" s="455">
        <v>0</v>
      </c>
      <c r="U274" s="455">
        <v>0</v>
      </c>
      <c r="V274" s="463" t="s">
        <v>305</v>
      </c>
      <c r="W274" s="455">
        <v>0</v>
      </c>
      <c r="X274" s="455">
        <v>0</v>
      </c>
      <c r="Y274" s="457" t="s">
        <v>305</v>
      </c>
      <c r="Z274" s="455">
        <v>0</v>
      </c>
      <c r="AA274" s="455">
        <v>0</v>
      </c>
      <c r="AB274" s="457" t="s">
        <v>2229</v>
      </c>
      <c r="AC274" s="455">
        <v>0</v>
      </c>
      <c r="AD274" s="474">
        <v>0</v>
      </c>
      <c r="AE274" s="475" t="s">
        <v>305</v>
      </c>
      <c r="AF274" s="455">
        <v>0</v>
      </c>
      <c r="AG274" s="550">
        <v>0</v>
      </c>
      <c r="AH274" s="523" t="s">
        <v>305</v>
      </c>
      <c r="AI274" s="455">
        <v>0</v>
      </c>
      <c r="AJ274" s="455"/>
      <c r="AK274" s="455"/>
      <c r="AL274" s="455">
        <v>0</v>
      </c>
      <c r="AM274" s="455"/>
      <c r="AN274" s="455"/>
      <c r="AO274" s="455">
        <v>1</v>
      </c>
      <c r="AP274" s="455"/>
      <c r="AQ274" s="455"/>
      <c r="AR274" s="455">
        <v>0</v>
      </c>
      <c r="AS274" s="455"/>
      <c r="AT274" s="455"/>
      <c r="AU274" s="455">
        <v>0</v>
      </c>
      <c r="AV274" s="455"/>
      <c r="AW274" s="455"/>
      <c r="AX274" s="455">
        <v>0</v>
      </c>
      <c r="AY274" s="453"/>
      <c r="AZ274" s="453"/>
      <c r="BA274" s="453">
        <f t="shared" si="12"/>
        <v>0</v>
      </c>
      <c r="BB274" s="413">
        <f t="shared" si="13"/>
        <v>0</v>
      </c>
      <c r="BC274" s="68" t="str">
        <f>+IF(BA274=0,+IF(BB274=0,"No programación, No avance",+IF(BB274&gt;0,+IF(BA274=0,BB274/P274))),BB274/BA274)</f>
        <v>No programación, No avance</v>
      </c>
    </row>
    <row r="275" spans="1:55" s="2" customFormat="1" ht="36" customHeight="1">
      <c r="A275" s="713"/>
      <c r="B275" s="748"/>
      <c r="C275" s="685" t="s">
        <v>317</v>
      </c>
      <c r="D275" s="685" t="s">
        <v>2231</v>
      </c>
      <c r="E275" s="462" t="s">
        <v>2232</v>
      </c>
      <c r="F275" s="455" t="s">
        <v>472</v>
      </c>
      <c r="G275" s="455">
        <v>0.7</v>
      </c>
      <c r="H275" s="455" t="s">
        <v>320</v>
      </c>
      <c r="I275" s="455" t="s">
        <v>73</v>
      </c>
      <c r="J275" s="455" t="s">
        <v>127</v>
      </c>
      <c r="K275" s="455" t="s">
        <v>2233</v>
      </c>
      <c r="L275" s="455" t="s">
        <v>2234</v>
      </c>
      <c r="M275" s="456">
        <v>44197</v>
      </c>
      <c r="N275" s="456">
        <v>44561</v>
      </c>
      <c r="O275" s="455">
        <f>+R275+U275+X275+AA275+AD275+AG275+AJ275+AM275+AP275+AS275+AV275+AY275</f>
        <v>0</v>
      </c>
      <c r="P275" s="455">
        <v>3</v>
      </c>
      <c r="Q275" s="455">
        <v>0</v>
      </c>
      <c r="R275" s="455">
        <v>0</v>
      </c>
      <c r="S275" s="455" t="s">
        <v>2235</v>
      </c>
      <c r="T275" s="455">
        <v>0</v>
      </c>
      <c r="U275" s="455">
        <v>0</v>
      </c>
      <c r="V275" s="455" t="s">
        <v>318</v>
      </c>
      <c r="W275" s="455">
        <v>0</v>
      </c>
      <c r="X275" s="455">
        <v>0</v>
      </c>
      <c r="Y275" s="457" t="s">
        <v>2236</v>
      </c>
      <c r="Z275" s="455">
        <v>0</v>
      </c>
      <c r="AA275" s="455">
        <v>0</v>
      </c>
      <c r="AB275" s="457" t="s">
        <v>2237</v>
      </c>
      <c r="AC275" s="455">
        <v>0</v>
      </c>
      <c r="AD275" s="474">
        <v>0</v>
      </c>
      <c r="AE275" s="475" t="s">
        <v>2235</v>
      </c>
      <c r="AF275" s="455">
        <v>0</v>
      </c>
      <c r="AG275" s="553">
        <v>0</v>
      </c>
      <c r="AH275" s="554" t="s">
        <v>2235</v>
      </c>
      <c r="AI275" s="455">
        <v>0</v>
      </c>
      <c r="AJ275" s="455"/>
      <c r="AK275" s="455"/>
      <c r="AL275" s="455">
        <v>0</v>
      </c>
      <c r="AM275" s="455"/>
      <c r="AN275" s="455"/>
      <c r="AO275" s="455">
        <v>3</v>
      </c>
      <c r="AP275" s="455"/>
      <c r="AQ275" s="455"/>
      <c r="AR275" s="455">
        <v>0</v>
      </c>
      <c r="AS275" s="455"/>
      <c r="AT275" s="455"/>
      <c r="AU275" s="455">
        <v>0</v>
      </c>
      <c r="AV275" s="455"/>
      <c r="AW275" s="455"/>
      <c r="AX275" s="455">
        <v>0</v>
      </c>
      <c r="AY275" s="453"/>
      <c r="AZ275" s="453"/>
      <c r="BA275" s="453">
        <f t="shared" si="12"/>
        <v>0</v>
      </c>
      <c r="BB275" s="413">
        <f t="shared" si="13"/>
        <v>0</v>
      </c>
      <c r="BC275" s="60" t="str">
        <f>+IF(BA275=0,+IF(BB275=0,"No programación, No avance",+IF(BB275&gt;0,+IF(BA275=0,BB275/P275))),BB275/BA275)</f>
        <v>No programación, No avance</v>
      </c>
    </row>
    <row r="276" spans="1:55" s="2" customFormat="1" ht="108">
      <c r="A276" s="713"/>
      <c r="B276" s="748"/>
      <c r="C276" s="685"/>
      <c r="D276" s="685"/>
      <c r="E276" s="455" t="s">
        <v>2239</v>
      </c>
      <c r="F276" s="455" t="s">
        <v>472</v>
      </c>
      <c r="G276" s="455">
        <v>0.1</v>
      </c>
      <c r="H276" s="455" t="s">
        <v>320</v>
      </c>
      <c r="I276" s="455" t="s">
        <v>73</v>
      </c>
      <c r="J276" s="455" t="s">
        <v>127</v>
      </c>
      <c r="K276" s="455" t="s">
        <v>2233</v>
      </c>
      <c r="L276" s="455" t="s">
        <v>2234</v>
      </c>
      <c r="M276" s="456">
        <v>44197</v>
      </c>
      <c r="N276" s="456">
        <v>44561</v>
      </c>
      <c r="O276" s="455">
        <f>+R276+U276+X276+AA276+AD276+AG276+AJ276+AM276+AP276+AS276+AV276+AY276</f>
        <v>1</v>
      </c>
      <c r="P276" s="455">
        <v>1</v>
      </c>
      <c r="Q276" s="455">
        <v>0</v>
      </c>
      <c r="R276" s="455">
        <v>0</v>
      </c>
      <c r="S276" s="455" t="s">
        <v>2235</v>
      </c>
      <c r="T276" s="455">
        <v>0</v>
      </c>
      <c r="U276" s="455">
        <v>0</v>
      </c>
      <c r="V276" s="455" t="s">
        <v>2235</v>
      </c>
      <c r="W276" s="455">
        <v>0</v>
      </c>
      <c r="X276" s="455">
        <v>1</v>
      </c>
      <c r="Y276" s="457" t="s">
        <v>2240</v>
      </c>
      <c r="Z276" s="455">
        <v>0</v>
      </c>
      <c r="AA276" s="455">
        <v>0</v>
      </c>
      <c r="AB276" s="457" t="s">
        <v>2241</v>
      </c>
      <c r="AC276" s="455">
        <v>0</v>
      </c>
      <c r="AD276" s="474">
        <v>0</v>
      </c>
      <c r="AE276" s="475" t="s">
        <v>2235</v>
      </c>
      <c r="AF276" s="455">
        <v>0</v>
      </c>
      <c r="AG276" s="555">
        <v>0</v>
      </c>
      <c r="AH276" s="556" t="s">
        <v>2235</v>
      </c>
      <c r="AI276" s="455">
        <v>0</v>
      </c>
      <c r="AJ276" s="455"/>
      <c r="AK276" s="455"/>
      <c r="AL276" s="455">
        <v>0</v>
      </c>
      <c r="AM276" s="455"/>
      <c r="AN276" s="455"/>
      <c r="AO276" s="455">
        <v>1</v>
      </c>
      <c r="AP276" s="455"/>
      <c r="AQ276" s="455"/>
      <c r="AR276" s="455">
        <v>0</v>
      </c>
      <c r="AS276" s="455"/>
      <c r="AT276" s="455"/>
      <c r="AU276" s="455">
        <v>0</v>
      </c>
      <c r="AV276" s="455"/>
      <c r="AW276" s="455"/>
      <c r="AX276" s="455">
        <v>0</v>
      </c>
      <c r="AY276" s="453"/>
      <c r="AZ276" s="453"/>
      <c r="BA276" s="453">
        <f t="shared" si="12"/>
        <v>0</v>
      </c>
      <c r="BB276" s="413">
        <f t="shared" si="13"/>
        <v>1</v>
      </c>
      <c r="BC276" s="60">
        <f>+IF(BA276=0,+IF(BB276=0,"No programación, No avance",+IF(BB276&gt;0,+IF(BA276=0,BB276/P276))),BB276/BA276)</f>
        <v>1</v>
      </c>
    </row>
    <row r="277" spans="1:55" s="2" customFormat="1" ht="108">
      <c r="A277" s="713"/>
      <c r="B277" s="748"/>
      <c r="C277" s="685"/>
      <c r="D277" s="685"/>
      <c r="E277" s="455" t="s">
        <v>2243</v>
      </c>
      <c r="F277" s="455" t="s">
        <v>472</v>
      </c>
      <c r="G277" s="455">
        <v>0.2</v>
      </c>
      <c r="H277" s="455" t="s">
        <v>320</v>
      </c>
      <c r="I277" s="455" t="s">
        <v>73</v>
      </c>
      <c r="J277" s="455" t="s">
        <v>2244</v>
      </c>
      <c r="K277" s="455" t="s">
        <v>2233</v>
      </c>
      <c r="L277" s="455" t="s">
        <v>2234</v>
      </c>
      <c r="M277" s="456">
        <v>44197</v>
      </c>
      <c r="N277" s="456">
        <v>44561</v>
      </c>
      <c r="O277" s="455">
        <f>+R277+U277+X277+AA277+AD277+AG277+AJ277+AM277+AP277+AS277+AV277+AY277</f>
        <v>0</v>
      </c>
      <c r="P277" s="455">
        <v>3</v>
      </c>
      <c r="Q277" s="455">
        <v>0</v>
      </c>
      <c r="R277" s="455">
        <v>0</v>
      </c>
      <c r="S277" s="455" t="s">
        <v>2235</v>
      </c>
      <c r="T277" s="455">
        <v>0</v>
      </c>
      <c r="U277" s="455">
        <v>0</v>
      </c>
      <c r="V277" s="455" t="s">
        <v>2235</v>
      </c>
      <c r="W277" s="455">
        <v>0</v>
      </c>
      <c r="X277" s="455">
        <v>0</v>
      </c>
      <c r="Y277" s="457" t="s">
        <v>2245</v>
      </c>
      <c r="Z277" s="455">
        <v>0</v>
      </c>
      <c r="AA277" s="455">
        <v>0</v>
      </c>
      <c r="AB277" s="457" t="s">
        <v>2246</v>
      </c>
      <c r="AC277" s="455">
        <v>1</v>
      </c>
      <c r="AD277" s="474">
        <v>0</v>
      </c>
      <c r="AE277" s="475" t="s">
        <v>2247</v>
      </c>
      <c r="AF277" s="455">
        <v>0</v>
      </c>
      <c r="AG277" s="555">
        <v>0</v>
      </c>
      <c r="AH277" s="556" t="s">
        <v>2248</v>
      </c>
      <c r="AI277" s="455">
        <v>2</v>
      </c>
      <c r="AJ277" s="455"/>
      <c r="AK277" s="455"/>
      <c r="AL277" s="455">
        <v>0</v>
      </c>
      <c r="AM277" s="455"/>
      <c r="AN277" s="455"/>
      <c r="AO277" s="455">
        <v>0</v>
      </c>
      <c r="AP277" s="455"/>
      <c r="AQ277" s="455"/>
      <c r="AR277" s="455">
        <v>0</v>
      </c>
      <c r="AS277" s="455"/>
      <c r="AT277" s="455"/>
      <c r="AU277" s="455">
        <v>0</v>
      </c>
      <c r="AV277" s="455"/>
      <c r="AW277" s="455"/>
      <c r="AX277" s="455">
        <v>0</v>
      </c>
      <c r="AY277" s="453"/>
      <c r="AZ277" s="453"/>
      <c r="BA277" s="453">
        <f t="shared" si="12"/>
        <v>1</v>
      </c>
      <c r="BB277" s="413">
        <f t="shared" si="13"/>
        <v>0</v>
      </c>
      <c r="BC277" s="60">
        <f>+IF(BA277=0,+IF(BB277=0,"No programación, No avance",+IF(BB277&gt;0,+IF(BA277=0,BB277/P277))),BB277/BA277)</f>
        <v>0</v>
      </c>
    </row>
    <row r="278" spans="1:55" s="2" customFormat="1" ht="36" customHeight="1">
      <c r="A278" s="713"/>
      <c r="B278" s="748"/>
      <c r="C278" s="685" t="s">
        <v>322</v>
      </c>
      <c r="D278" s="685" t="s">
        <v>2250</v>
      </c>
      <c r="E278" s="455" t="s">
        <v>2251</v>
      </c>
      <c r="F278" s="455" t="s">
        <v>472</v>
      </c>
      <c r="G278" s="455">
        <v>0.45</v>
      </c>
      <c r="H278" s="455" t="s">
        <v>320</v>
      </c>
      <c r="I278" s="455" t="s">
        <v>79</v>
      </c>
      <c r="J278" s="455" t="s">
        <v>2252</v>
      </c>
      <c r="K278" s="455" t="s">
        <v>2253</v>
      </c>
      <c r="L278" s="455" t="s">
        <v>2254</v>
      </c>
      <c r="M278" s="456">
        <v>44197</v>
      </c>
      <c r="N278" s="456">
        <v>44561</v>
      </c>
      <c r="O278" s="455">
        <f>+R278+U278+X278+AA278+AD278+AG278+AJ278+AM278+AP278+AS278+AV278+AY278</f>
        <v>0.49830000000000002</v>
      </c>
      <c r="P278" s="455">
        <v>1</v>
      </c>
      <c r="Q278" s="455">
        <v>8.3299999999999999E-2</v>
      </c>
      <c r="R278" s="480">
        <v>8.3000000000000004E-2</v>
      </c>
      <c r="S278" s="455" t="s">
        <v>2255</v>
      </c>
      <c r="T278" s="455">
        <v>8.3299999999999999E-2</v>
      </c>
      <c r="U278" s="480">
        <v>8.3000000000000004E-2</v>
      </c>
      <c r="V278" s="455" t="s">
        <v>2255</v>
      </c>
      <c r="W278" s="480">
        <v>8.3299999999999999E-2</v>
      </c>
      <c r="X278" s="480">
        <v>8.3000000000000004E-2</v>
      </c>
      <c r="Y278" s="457" t="s">
        <v>2256</v>
      </c>
      <c r="Z278" s="480">
        <v>8.3299999999999999E-2</v>
      </c>
      <c r="AA278" s="466">
        <v>8.3299999999999999E-2</v>
      </c>
      <c r="AB278" s="457" t="s">
        <v>2256</v>
      </c>
      <c r="AC278" s="480">
        <v>8.3299999999999999E-2</v>
      </c>
      <c r="AD278" s="557">
        <v>8.3000000000000004E-2</v>
      </c>
      <c r="AE278" s="475" t="s">
        <v>2256</v>
      </c>
      <c r="AF278" s="480">
        <v>8.3299999999999999E-2</v>
      </c>
      <c r="AG278" s="555" t="s">
        <v>2257</v>
      </c>
      <c r="AH278" s="556" t="s">
        <v>2256</v>
      </c>
      <c r="AI278" s="455">
        <v>8.3000000000000004E-2</v>
      </c>
      <c r="AJ278" s="455"/>
      <c r="AK278" s="455"/>
      <c r="AL278" s="455">
        <v>8.3000000000000004E-2</v>
      </c>
      <c r="AM278" s="455"/>
      <c r="AN278" s="455"/>
      <c r="AO278" s="455">
        <v>8.3000000000000004E-2</v>
      </c>
      <c r="AP278" s="455"/>
      <c r="AQ278" s="455"/>
      <c r="AR278" s="455">
        <v>8.3000000000000004E-2</v>
      </c>
      <c r="AS278" s="455"/>
      <c r="AT278" s="455"/>
      <c r="AU278" s="455">
        <v>8.3000000000000004E-2</v>
      </c>
      <c r="AV278" s="455"/>
      <c r="AW278" s="455"/>
      <c r="AX278" s="480">
        <v>8.6999999999999994E-2</v>
      </c>
      <c r="AY278" s="453"/>
      <c r="AZ278" s="453"/>
      <c r="BA278" s="453">
        <f t="shared" si="12"/>
        <v>0.49979999999999997</v>
      </c>
      <c r="BB278" s="413">
        <f t="shared" si="13"/>
        <v>0.49830000000000002</v>
      </c>
      <c r="BC278" s="60">
        <f>+IF(BA278=0,+IF(BB278=0,"No programación, No avance",+IF(BB278&gt;0,+IF(BA278=0,BB278/P278))),BB278/BA278)</f>
        <v>0.99699879951980808</v>
      </c>
    </row>
    <row r="279" spans="1:55" s="2" customFormat="1" ht="108">
      <c r="A279" s="713"/>
      <c r="B279" s="748"/>
      <c r="C279" s="685"/>
      <c r="D279" s="685"/>
      <c r="E279" s="455" t="s">
        <v>2259</v>
      </c>
      <c r="F279" s="455" t="s">
        <v>472</v>
      </c>
      <c r="G279" s="455">
        <v>0.35</v>
      </c>
      <c r="H279" s="455" t="s">
        <v>320</v>
      </c>
      <c r="I279" s="455" t="s">
        <v>73</v>
      </c>
      <c r="J279" s="455" t="s">
        <v>2260</v>
      </c>
      <c r="K279" s="455" t="s">
        <v>2253</v>
      </c>
      <c r="L279" s="455" t="s">
        <v>2261</v>
      </c>
      <c r="M279" s="456">
        <v>44197</v>
      </c>
      <c r="N279" s="456">
        <v>44561</v>
      </c>
      <c r="O279" s="455">
        <f>+R279+U279+X279+AA279+AD279+AG279+AJ279+AM279+AP279+AS279+AV279+AY279</f>
        <v>3</v>
      </c>
      <c r="P279" s="455">
        <v>4</v>
      </c>
      <c r="Q279" s="455">
        <v>0</v>
      </c>
      <c r="R279" s="455">
        <v>1</v>
      </c>
      <c r="S279" s="455" t="s">
        <v>2262</v>
      </c>
      <c r="T279" s="455">
        <v>1</v>
      </c>
      <c r="U279" s="455">
        <v>0</v>
      </c>
      <c r="V279" s="455" t="s">
        <v>2235</v>
      </c>
      <c r="W279" s="455">
        <v>0</v>
      </c>
      <c r="X279" s="455">
        <v>1</v>
      </c>
      <c r="Y279" s="457" t="s">
        <v>2263</v>
      </c>
      <c r="Z279" s="455">
        <v>0</v>
      </c>
      <c r="AA279" s="455">
        <v>0</v>
      </c>
      <c r="AB279" s="457" t="s">
        <v>2235</v>
      </c>
      <c r="AC279" s="455">
        <v>1</v>
      </c>
      <c r="AD279" s="474">
        <v>0</v>
      </c>
      <c r="AE279" s="475" t="s">
        <v>2264</v>
      </c>
      <c r="AF279" s="455">
        <v>0</v>
      </c>
      <c r="AG279" s="555">
        <v>1</v>
      </c>
      <c r="AH279" s="558" t="s">
        <v>2265</v>
      </c>
      <c r="AI279" s="455">
        <v>0</v>
      </c>
      <c r="AJ279" s="455"/>
      <c r="AK279" s="455"/>
      <c r="AL279" s="455">
        <v>1</v>
      </c>
      <c r="AM279" s="455"/>
      <c r="AN279" s="455"/>
      <c r="AO279" s="455">
        <v>0</v>
      </c>
      <c r="AP279" s="455"/>
      <c r="AQ279" s="455"/>
      <c r="AR279" s="455">
        <v>0</v>
      </c>
      <c r="AS279" s="455"/>
      <c r="AT279" s="455"/>
      <c r="AU279" s="455">
        <v>1</v>
      </c>
      <c r="AV279" s="455"/>
      <c r="AW279" s="455"/>
      <c r="AX279" s="455">
        <v>0</v>
      </c>
      <c r="AY279" s="453"/>
      <c r="AZ279" s="453"/>
      <c r="BA279" s="453">
        <f t="shared" si="12"/>
        <v>2</v>
      </c>
      <c r="BB279" s="413">
        <f t="shared" si="13"/>
        <v>3</v>
      </c>
      <c r="BC279" s="60">
        <f>+IF(BA279=0,+IF(BB279=0,"No programación, No avance",+IF(BB279&gt;0,+IF(BA279=0,BB279/P279))),BB279/BA279)</f>
        <v>1.5</v>
      </c>
    </row>
    <row r="280" spans="1:55" s="2" customFormat="1" ht="120">
      <c r="A280" s="713"/>
      <c r="B280" s="748"/>
      <c r="C280" s="685"/>
      <c r="D280" s="685"/>
      <c r="E280" s="455" t="s">
        <v>2267</v>
      </c>
      <c r="F280" s="455" t="s">
        <v>472</v>
      </c>
      <c r="G280" s="455">
        <v>0.2</v>
      </c>
      <c r="H280" s="455" t="s">
        <v>320</v>
      </c>
      <c r="I280" s="455" t="s">
        <v>73</v>
      </c>
      <c r="J280" s="455" t="s">
        <v>232</v>
      </c>
      <c r="K280" s="455" t="s">
        <v>2233</v>
      </c>
      <c r="L280" s="455" t="s">
        <v>2261</v>
      </c>
      <c r="M280" s="456">
        <v>44197</v>
      </c>
      <c r="N280" s="456">
        <v>44561</v>
      </c>
      <c r="O280" s="455">
        <f>+R280+U280+X280+AA280+AD280+AG280+AJ280+AM280+AP280+AS280+AV280+AY280</f>
        <v>1</v>
      </c>
      <c r="P280" s="455">
        <v>2</v>
      </c>
      <c r="Q280" s="455">
        <v>0</v>
      </c>
      <c r="R280" s="455">
        <v>0</v>
      </c>
      <c r="S280" s="455" t="s">
        <v>2235</v>
      </c>
      <c r="T280" s="455">
        <v>0</v>
      </c>
      <c r="U280" s="455">
        <v>1</v>
      </c>
      <c r="V280" s="455" t="s">
        <v>2268</v>
      </c>
      <c r="W280" s="455">
        <v>1</v>
      </c>
      <c r="X280" s="455">
        <v>0</v>
      </c>
      <c r="Y280" s="457" t="s">
        <v>2269</v>
      </c>
      <c r="Z280" s="455">
        <v>0</v>
      </c>
      <c r="AA280" s="455">
        <v>0</v>
      </c>
      <c r="AB280" s="457" t="s">
        <v>2270</v>
      </c>
      <c r="AC280" s="455">
        <v>0</v>
      </c>
      <c r="AD280" s="474">
        <v>0</v>
      </c>
      <c r="AE280" s="475" t="s">
        <v>2271</v>
      </c>
      <c r="AF280" s="455">
        <v>0</v>
      </c>
      <c r="AG280" s="555">
        <v>0</v>
      </c>
      <c r="AH280" s="558" t="s">
        <v>2271</v>
      </c>
      <c r="AI280" s="455">
        <v>0</v>
      </c>
      <c r="AJ280" s="455"/>
      <c r="AK280" s="455"/>
      <c r="AL280" s="455">
        <v>0</v>
      </c>
      <c r="AM280" s="455"/>
      <c r="AN280" s="455"/>
      <c r="AO280" s="455">
        <v>1</v>
      </c>
      <c r="AP280" s="455"/>
      <c r="AQ280" s="455"/>
      <c r="AR280" s="455">
        <v>0</v>
      </c>
      <c r="AS280" s="455"/>
      <c r="AT280" s="455"/>
      <c r="AU280" s="455">
        <v>0</v>
      </c>
      <c r="AV280" s="455"/>
      <c r="AW280" s="455"/>
      <c r="AX280" s="455">
        <v>0</v>
      </c>
      <c r="AY280" s="453"/>
      <c r="AZ280" s="453"/>
      <c r="BA280" s="453">
        <f t="shared" si="12"/>
        <v>1</v>
      </c>
      <c r="BB280" s="413">
        <f t="shared" si="13"/>
        <v>1</v>
      </c>
      <c r="BC280" s="60">
        <f>+IF(BA280=0,+IF(BB280=0,"No programación, No avance",+IF(BB280&gt;0,+IF(BA280=0,BB280/P280))),BB280/BA280)</f>
        <v>1</v>
      </c>
    </row>
    <row r="281" spans="1:55" s="2" customFormat="1" ht="36" customHeight="1">
      <c r="A281" s="713"/>
      <c r="B281" s="748"/>
      <c r="C281" s="685" t="s">
        <v>324</v>
      </c>
      <c r="D281" s="685" t="s">
        <v>2273</v>
      </c>
      <c r="E281" s="455" t="s">
        <v>2274</v>
      </c>
      <c r="F281" s="455" t="s">
        <v>472</v>
      </c>
      <c r="G281" s="455">
        <v>0.3</v>
      </c>
      <c r="H281" s="455" t="s">
        <v>320</v>
      </c>
      <c r="I281" s="455" t="s">
        <v>73</v>
      </c>
      <c r="J281" s="455" t="s">
        <v>2275</v>
      </c>
      <c r="K281" s="455" t="s">
        <v>2233</v>
      </c>
      <c r="L281" s="455" t="s">
        <v>2261</v>
      </c>
      <c r="M281" s="456">
        <v>44197</v>
      </c>
      <c r="N281" s="456">
        <v>44561</v>
      </c>
      <c r="O281" s="455">
        <f>+R281+U281+X281+AA281+AD281+AG281+AJ281+AM281+AP281+AS281+AV281+AY281</f>
        <v>4</v>
      </c>
      <c r="P281" s="455">
        <v>3</v>
      </c>
      <c r="Q281" s="455">
        <v>0</v>
      </c>
      <c r="R281" s="455">
        <v>0</v>
      </c>
      <c r="S281" s="455" t="s">
        <v>2276</v>
      </c>
      <c r="T281" s="455">
        <v>0</v>
      </c>
      <c r="U281" s="455">
        <v>1</v>
      </c>
      <c r="V281" s="455" t="s">
        <v>2277</v>
      </c>
      <c r="W281" s="455">
        <v>1</v>
      </c>
      <c r="X281" s="455">
        <v>1</v>
      </c>
      <c r="Y281" s="457" t="s">
        <v>2278</v>
      </c>
      <c r="Z281" s="455">
        <v>1</v>
      </c>
      <c r="AA281" s="455">
        <v>1</v>
      </c>
      <c r="AB281" s="457" t="s">
        <v>2279</v>
      </c>
      <c r="AC281" s="455">
        <v>1</v>
      </c>
      <c r="AD281" s="474">
        <v>1</v>
      </c>
      <c r="AE281" s="475" t="s">
        <v>2280</v>
      </c>
      <c r="AF281" s="455">
        <v>0</v>
      </c>
      <c r="AG281" s="555">
        <v>0</v>
      </c>
      <c r="AH281" s="556" t="s">
        <v>2281</v>
      </c>
      <c r="AI281" s="455">
        <v>0</v>
      </c>
      <c r="AJ281" s="455"/>
      <c r="AK281" s="455"/>
      <c r="AL281" s="455">
        <v>0</v>
      </c>
      <c r="AM281" s="455"/>
      <c r="AN281" s="455"/>
      <c r="AO281" s="455">
        <v>0</v>
      </c>
      <c r="AP281" s="455"/>
      <c r="AQ281" s="455"/>
      <c r="AR281" s="455">
        <v>0</v>
      </c>
      <c r="AS281" s="455"/>
      <c r="AT281" s="455"/>
      <c r="AU281" s="455">
        <v>0</v>
      </c>
      <c r="AV281" s="455"/>
      <c r="AW281" s="455"/>
      <c r="AX281" s="455">
        <v>0</v>
      </c>
      <c r="AY281" s="453"/>
      <c r="AZ281" s="453"/>
      <c r="BA281" s="453">
        <f t="shared" si="12"/>
        <v>3</v>
      </c>
      <c r="BB281" s="413">
        <f t="shared" si="13"/>
        <v>4</v>
      </c>
      <c r="BC281" s="60">
        <f>+IF(BA281=0,+IF(BB281=0,"No programación, No avance",+IF(BB281&gt;0,+IF(BA281=0,BB281/P281))),BB281/BA281)</f>
        <v>1.3333333333333333</v>
      </c>
    </row>
    <row r="282" spans="1:55" s="2" customFormat="1" ht="108">
      <c r="A282" s="713"/>
      <c r="B282" s="748"/>
      <c r="C282" s="685"/>
      <c r="D282" s="685"/>
      <c r="E282" s="455" t="s">
        <v>2283</v>
      </c>
      <c r="F282" s="455" t="s">
        <v>472</v>
      </c>
      <c r="G282" s="455">
        <v>0.2</v>
      </c>
      <c r="H282" s="455" t="s">
        <v>320</v>
      </c>
      <c r="I282" s="455" t="s">
        <v>73</v>
      </c>
      <c r="J282" s="455" t="s">
        <v>2284</v>
      </c>
      <c r="K282" s="455" t="s">
        <v>2233</v>
      </c>
      <c r="L282" s="455" t="s">
        <v>2261</v>
      </c>
      <c r="M282" s="456">
        <v>44197</v>
      </c>
      <c r="N282" s="456">
        <v>44561</v>
      </c>
      <c r="O282" s="455">
        <f>+R282+U282+X282+AA282+AD282+AG282+AJ282+AM282+AP282+AS282+AV282+AY282</f>
        <v>1</v>
      </c>
      <c r="P282" s="455">
        <v>3</v>
      </c>
      <c r="Q282" s="455">
        <v>0</v>
      </c>
      <c r="R282" s="455">
        <v>0</v>
      </c>
      <c r="S282" s="455" t="s">
        <v>2235</v>
      </c>
      <c r="T282" s="455">
        <v>0</v>
      </c>
      <c r="U282" s="455">
        <v>0</v>
      </c>
      <c r="V282" s="455" t="s">
        <v>2235</v>
      </c>
      <c r="W282" s="455">
        <v>0</v>
      </c>
      <c r="X282" s="455">
        <v>0</v>
      </c>
      <c r="Y282" s="457" t="s">
        <v>2235</v>
      </c>
      <c r="Z282" s="455">
        <v>0</v>
      </c>
      <c r="AA282" s="455">
        <v>0</v>
      </c>
      <c r="AB282" s="457" t="s">
        <v>2235</v>
      </c>
      <c r="AC282" s="455">
        <v>1</v>
      </c>
      <c r="AD282" s="474">
        <v>1</v>
      </c>
      <c r="AE282" s="475" t="s">
        <v>2866</v>
      </c>
      <c r="AF282" s="455">
        <v>0</v>
      </c>
      <c r="AG282" s="555">
        <v>0</v>
      </c>
      <c r="AH282" s="556" t="s">
        <v>2235</v>
      </c>
      <c r="AI282" s="455">
        <v>0</v>
      </c>
      <c r="AJ282" s="455"/>
      <c r="AK282" s="455"/>
      <c r="AL282" s="455">
        <v>1</v>
      </c>
      <c r="AM282" s="455"/>
      <c r="AN282" s="455"/>
      <c r="AO282" s="455">
        <v>0</v>
      </c>
      <c r="AP282" s="455"/>
      <c r="AQ282" s="455"/>
      <c r="AR282" s="455">
        <v>1</v>
      </c>
      <c r="AS282" s="455"/>
      <c r="AT282" s="455"/>
      <c r="AU282" s="455">
        <v>0</v>
      </c>
      <c r="AV282" s="455"/>
      <c r="AW282" s="455"/>
      <c r="AX282" s="455">
        <v>0</v>
      </c>
      <c r="AY282" s="453"/>
      <c r="AZ282" s="453"/>
      <c r="BA282" s="453">
        <f t="shared" si="12"/>
        <v>1</v>
      </c>
      <c r="BB282" s="413">
        <f t="shared" si="13"/>
        <v>1</v>
      </c>
      <c r="BC282" s="60">
        <f>+IF(BA282=0,+IF(BB282=0,"No programación, No avance",+IF(BB282&gt;0,+IF(BA282=0,BB282/P282))),BB282/BA282)</f>
        <v>1</v>
      </c>
    </row>
    <row r="283" spans="1:55" s="2" customFormat="1" ht="156">
      <c r="A283" s="713"/>
      <c r="B283" s="748"/>
      <c r="C283" s="685"/>
      <c r="D283" s="685"/>
      <c r="E283" s="455" t="s">
        <v>2287</v>
      </c>
      <c r="F283" s="455" t="s">
        <v>472</v>
      </c>
      <c r="G283" s="455">
        <v>0.25</v>
      </c>
      <c r="H283" s="455" t="s">
        <v>320</v>
      </c>
      <c r="I283" s="455" t="s">
        <v>73</v>
      </c>
      <c r="J283" s="455" t="s">
        <v>2288</v>
      </c>
      <c r="K283" s="455" t="s">
        <v>2233</v>
      </c>
      <c r="L283" s="455" t="s">
        <v>2261</v>
      </c>
      <c r="M283" s="456">
        <v>44197</v>
      </c>
      <c r="N283" s="456">
        <v>44561</v>
      </c>
      <c r="O283" s="455">
        <f>+R283+U283+X283+AA283+AD283+AG283+AJ283+AM283+AP283+AS283+AV283+AY283</f>
        <v>6</v>
      </c>
      <c r="P283" s="455">
        <v>10</v>
      </c>
      <c r="Q283" s="455">
        <v>1</v>
      </c>
      <c r="R283" s="455">
        <v>0</v>
      </c>
      <c r="S283" s="455" t="s">
        <v>2235</v>
      </c>
      <c r="T283" s="455">
        <v>1</v>
      </c>
      <c r="U283" s="455">
        <v>0</v>
      </c>
      <c r="V283" s="455" t="s">
        <v>2289</v>
      </c>
      <c r="W283" s="455">
        <v>0</v>
      </c>
      <c r="X283" s="455">
        <v>2</v>
      </c>
      <c r="Y283" s="457" t="s">
        <v>2290</v>
      </c>
      <c r="Z283" s="455">
        <v>0</v>
      </c>
      <c r="AA283" s="455">
        <v>2</v>
      </c>
      <c r="AB283" s="457" t="s">
        <v>2291</v>
      </c>
      <c r="AC283" s="455">
        <v>1</v>
      </c>
      <c r="AD283" s="474">
        <v>2</v>
      </c>
      <c r="AE283" s="475" t="s">
        <v>2292</v>
      </c>
      <c r="AF283" s="455">
        <v>1</v>
      </c>
      <c r="AG283" s="555">
        <v>0</v>
      </c>
      <c r="AH283" s="558" t="s">
        <v>2293</v>
      </c>
      <c r="AI283" s="455">
        <v>2</v>
      </c>
      <c r="AJ283" s="455"/>
      <c r="AK283" s="455"/>
      <c r="AL283" s="455">
        <v>1</v>
      </c>
      <c r="AM283" s="455"/>
      <c r="AN283" s="455"/>
      <c r="AO283" s="455">
        <v>1</v>
      </c>
      <c r="AP283" s="455"/>
      <c r="AQ283" s="455"/>
      <c r="AR283" s="455">
        <v>1</v>
      </c>
      <c r="AS283" s="455"/>
      <c r="AT283" s="455"/>
      <c r="AU283" s="455">
        <v>1</v>
      </c>
      <c r="AV283" s="455"/>
      <c r="AW283" s="455"/>
      <c r="AX283" s="455">
        <v>0</v>
      </c>
      <c r="AY283" s="453"/>
      <c r="AZ283" s="453"/>
      <c r="BA283" s="453">
        <f t="shared" si="12"/>
        <v>4</v>
      </c>
      <c r="BB283" s="413">
        <f t="shared" si="13"/>
        <v>6</v>
      </c>
      <c r="BC283" s="60">
        <f>+IF(BA283=0,+IF(BB283=0,"No programación, No avance",+IF(BB283&gt;0,+IF(BA283=0,BB283/P283))),BB283/BA283)</f>
        <v>1.5</v>
      </c>
    </row>
    <row r="284" spans="1:55" s="2" customFormat="1" ht="192">
      <c r="A284" s="713"/>
      <c r="B284" s="748"/>
      <c r="C284" s="685"/>
      <c r="D284" s="685"/>
      <c r="E284" s="455" t="s">
        <v>2295</v>
      </c>
      <c r="F284" s="455" t="s">
        <v>472</v>
      </c>
      <c r="G284" s="455">
        <v>0.25</v>
      </c>
      <c r="H284" s="455" t="s">
        <v>320</v>
      </c>
      <c r="I284" s="455" t="s">
        <v>73</v>
      </c>
      <c r="J284" s="455" t="s">
        <v>2296</v>
      </c>
      <c r="K284" s="455" t="s">
        <v>2233</v>
      </c>
      <c r="L284" s="455" t="s">
        <v>2261</v>
      </c>
      <c r="M284" s="456">
        <v>44197</v>
      </c>
      <c r="N284" s="456">
        <v>44561</v>
      </c>
      <c r="O284" s="455">
        <f>+R284+U284+X284+AA284+AD284+AG284+AJ284+AM284+AP284+AS284+AV284+AY284</f>
        <v>8</v>
      </c>
      <c r="P284" s="455">
        <v>7</v>
      </c>
      <c r="Q284" s="455">
        <v>1</v>
      </c>
      <c r="R284" s="455">
        <v>1</v>
      </c>
      <c r="S284" s="455" t="s">
        <v>2297</v>
      </c>
      <c r="T284" s="455">
        <v>0</v>
      </c>
      <c r="U284" s="455">
        <v>0</v>
      </c>
      <c r="V284" s="455" t="s">
        <v>2235</v>
      </c>
      <c r="W284" s="455">
        <v>1</v>
      </c>
      <c r="X284" s="455">
        <v>4</v>
      </c>
      <c r="Y284" s="457" t="s">
        <v>2298</v>
      </c>
      <c r="Z284" s="455">
        <v>0</v>
      </c>
      <c r="AA284" s="455">
        <v>2</v>
      </c>
      <c r="AB284" s="457" t="s">
        <v>2299</v>
      </c>
      <c r="AC284" s="455">
        <v>1</v>
      </c>
      <c r="AD284" s="474">
        <v>1</v>
      </c>
      <c r="AE284" s="475" t="s">
        <v>2300</v>
      </c>
      <c r="AF284" s="455">
        <v>0</v>
      </c>
      <c r="AG284" s="555">
        <v>0</v>
      </c>
      <c r="AH284" s="556" t="s">
        <v>2301</v>
      </c>
      <c r="AI284" s="455">
        <v>1</v>
      </c>
      <c r="AJ284" s="455"/>
      <c r="AK284" s="455"/>
      <c r="AL284" s="455">
        <v>0</v>
      </c>
      <c r="AM284" s="455"/>
      <c r="AN284" s="455"/>
      <c r="AO284" s="455">
        <v>1</v>
      </c>
      <c r="AP284" s="455"/>
      <c r="AQ284" s="455"/>
      <c r="AR284" s="455">
        <v>0</v>
      </c>
      <c r="AS284" s="455"/>
      <c r="AT284" s="455"/>
      <c r="AU284" s="455">
        <v>1</v>
      </c>
      <c r="AV284" s="455"/>
      <c r="AW284" s="455"/>
      <c r="AX284" s="455">
        <v>1</v>
      </c>
      <c r="AY284" s="453"/>
      <c r="AZ284" s="453"/>
      <c r="BA284" s="453">
        <f t="shared" si="12"/>
        <v>3</v>
      </c>
      <c r="BB284" s="413">
        <f t="shared" si="13"/>
        <v>8</v>
      </c>
      <c r="BC284" s="60">
        <f>+IF(BA284=0,+IF(BB284=0,"No programación, No avance",+IF(BB284&gt;0,+IF(BA284=0,BB284/P284))),BB284/BA284)</f>
        <v>2.6666666666666665</v>
      </c>
    </row>
    <row r="285" spans="1:55" s="2" customFormat="1" ht="98.25" customHeight="1">
      <c r="A285" s="713"/>
      <c r="B285" s="748"/>
      <c r="C285" s="455" t="s">
        <v>326</v>
      </c>
      <c r="D285" s="455" t="s">
        <v>2303</v>
      </c>
      <c r="E285" s="455" t="s">
        <v>2304</v>
      </c>
      <c r="F285" s="455" t="s">
        <v>472</v>
      </c>
      <c r="G285" s="455">
        <v>1</v>
      </c>
      <c r="H285" s="455" t="s">
        <v>320</v>
      </c>
      <c r="I285" s="455" t="s">
        <v>73</v>
      </c>
      <c r="J285" s="455" t="s">
        <v>2305</v>
      </c>
      <c r="K285" s="455" t="s">
        <v>2306</v>
      </c>
      <c r="L285" s="455" t="s">
        <v>2261</v>
      </c>
      <c r="M285" s="456">
        <v>44197</v>
      </c>
      <c r="N285" s="456">
        <v>44561</v>
      </c>
      <c r="O285" s="455">
        <f>+R285+U285+X285+AA285+AD285+AG285+AJ285+AM285+AP285+AS285+AV285+AY285</f>
        <v>2</v>
      </c>
      <c r="P285" s="455">
        <v>3</v>
      </c>
      <c r="Q285" s="455">
        <v>0</v>
      </c>
      <c r="R285" s="455">
        <v>0</v>
      </c>
      <c r="S285" s="455" t="s">
        <v>2235</v>
      </c>
      <c r="T285" s="455">
        <v>0</v>
      </c>
      <c r="U285" s="455">
        <v>0</v>
      </c>
      <c r="V285" s="455" t="s">
        <v>2307</v>
      </c>
      <c r="W285" s="455">
        <v>1</v>
      </c>
      <c r="X285" s="455">
        <v>1</v>
      </c>
      <c r="Y285" s="457" t="s">
        <v>2308</v>
      </c>
      <c r="Z285" s="455">
        <v>0</v>
      </c>
      <c r="AA285" s="455">
        <v>0</v>
      </c>
      <c r="AB285" s="457" t="s">
        <v>2309</v>
      </c>
      <c r="AC285" s="455">
        <v>0</v>
      </c>
      <c r="AD285" s="474">
        <v>0</v>
      </c>
      <c r="AE285" s="475" t="s">
        <v>2310</v>
      </c>
      <c r="AF285" s="455">
        <v>0</v>
      </c>
      <c r="AG285" s="555">
        <v>1</v>
      </c>
      <c r="AH285" s="558" t="s">
        <v>2311</v>
      </c>
      <c r="AI285" s="455">
        <v>1</v>
      </c>
      <c r="AJ285" s="455"/>
      <c r="AK285" s="455"/>
      <c r="AL285" s="455">
        <v>0</v>
      </c>
      <c r="AM285" s="455"/>
      <c r="AN285" s="455"/>
      <c r="AO285" s="455">
        <v>0</v>
      </c>
      <c r="AP285" s="455"/>
      <c r="AQ285" s="455"/>
      <c r="AR285" s="455">
        <v>1</v>
      </c>
      <c r="AS285" s="455"/>
      <c r="AT285" s="455"/>
      <c r="AU285" s="455">
        <v>0</v>
      </c>
      <c r="AV285" s="455"/>
      <c r="AW285" s="455"/>
      <c r="AX285" s="455">
        <v>0</v>
      </c>
      <c r="AY285" s="453"/>
      <c r="AZ285" s="453"/>
      <c r="BA285" s="453">
        <f t="shared" si="12"/>
        <v>1</v>
      </c>
      <c r="BB285" s="413">
        <f t="shared" si="13"/>
        <v>2</v>
      </c>
      <c r="BC285" s="60">
        <f>+IF(BA285=0,+IF(BB285=0,"No programación, No avance",+IF(BB285&gt;0,+IF(BA285=0,BB285/P285))),BB285/BA285)</f>
        <v>2</v>
      </c>
    </row>
    <row r="286" spans="1:55" s="2" customFormat="1" ht="56.25" customHeight="1">
      <c r="A286" s="713"/>
      <c r="B286" s="748"/>
      <c r="C286" s="685" t="s">
        <v>328</v>
      </c>
      <c r="D286" s="685" t="s">
        <v>2313</v>
      </c>
      <c r="E286" s="455" t="s">
        <v>2314</v>
      </c>
      <c r="F286" s="455" t="s">
        <v>531</v>
      </c>
      <c r="G286" s="455">
        <v>0.4</v>
      </c>
      <c r="H286" s="455" t="s">
        <v>329</v>
      </c>
      <c r="I286" s="455" t="s">
        <v>73</v>
      </c>
      <c r="J286" s="455" t="s">
        <v>2296</v>
      </c>
      <c r="K286" s="455" t="s">
        <v>2233</v>
      </c>
      <c r="L286" s="455" t="s">
        <v>2261</v>
      </c>
      <c r="M286" s="456">
        <v>44197</v>
      </c>
      <c r="N286" s="456">
        <v>44561</v>
      </c>
      <c r="O286" s="455">
        <f>+R286+U286+X286+AA286+AD286+AG286+AJ286+AM286+AP286+AS286+AV286+AY286</f>
        <v>2</v>
      </c>
      <c r="P286" s="455">
        <v>3</v>
      </c>
      <c r="Q286" s="455">
        <v>0</v>
      </c>
      <c r="R286" s="455">
        <v>0</v>
      </c>
      <c r="S286" s="455" t="s">
        <v>2235</v>
      </c>
      <c r="T286" s="455">
        <v>0</v>
      </c>
      <c r="U286" s="455">
        <v>1</v>
      </c>
      <c r="V286" s="455" t="s">
        <v>2315</v>
      </c>
      <c r="W286" s="455">
        <v>0</v>
      </c>
      <c r="X286" s="455">
        <v>1</v>
      </c>
      <c r="Y286" s="457" t="s">
        <v>2316</v>
      </c>
      <c r="Z286" s="455">
        <v>0</v>
      </c>
      <c r="AA286" s="455">
        <v>0</v>
      </c>
      <c r="AB286" s="457" t="s">
        <v>2317</v>
      </c>
      <c r="AC286" s="455">
        <v>0</v>
      </c>
      <c r="AD286" s="455">
        <v>0</v>
      </c>
      <c r="AE286" s="457" t="s">
        <v>2318</v>
      </c>
      <c r="AF286" s="455">
        <v>0</v>
      </c>
      <c r="AG286" s="555">
        <v>0</v>
      </c>
      <c r="AH286" s="556" t="s">
        <v>2319</v>
      </c>
      <c r="AI286" s="455">
        <v>0</v>
      </c>
      <c r="AJ286" s="455"/>
      <c r="AK286" s="455"/>
      <c r="AL286" s="455">
        <v>0</v>
      </c>
      <c r="AM286" s="455"/>
      <c r="AN286" s="455"/>
      <c r="AO286" s="455">
        <v>0</v>
      </c>
      <c r="AP286" s="455"/>
      <c r="AQ286" s="455"/>
      <c r="AR286" s="455">
        <v>0</v>
      </c>
      <c r="AS286" s="455"/>
      <c r="AT286" s="455"/>
      <c r="AU286" s="455">
        <v>3</v>
      </c>
      <c r="AV286" s="455"/>
      <c r="AW286" s="455"/>
      <c r="AX286" s="455">
        <v>0</v>
      </c>
      <c r="AY286" s="453"/>
      <c r="AZ286" s="453"/>
      <c r="BA286" s="453">
        <f t="shared" si="12"/>
        <v>0</v>
      </c>
      <c r="BB286" s="413">
        <f t="shared" si="13"/>
        <v>2</v>
      </c>
      <c r="BC286" s="68">
        <f>+IF(BA286=0,+IF(BB286=0,"No programación, No avance",+IF(BB286&gt;0,+IF(BA286=0,BB286/P286))),BB286/BA286)</f>
        <v>0.66666666666666663</v>
      </c>
    </row>
    <row r="287" spans="1:55" s="2" customFormat="1" ht="372">
      <c r="A287" s="713"/>
      <c r="B287" s="748"/>
      <c r="C287" s="685"/>
      <c r="D287" s="685"/>
      <c r="E287" s="455" t="s">
        <v>2321</v>
      </c>
      <c r="F287" s="455" t="s">
        <v>472</v>
      </c>
      <c r="G287" s="455">
        <v>0.5</v>
      </c>
      <c r="H287" s="455" t="s">
        <v>332</v>
      </c>
      <c r="I287" s="455" t="s">
        <v>73</v>
      </c>
      <c r="J287" s="455" t="s">
        <v>2296</v>
      </c>
      <c r="K287" s="455" t="s">
        <v>2233</v>
      </c>
      <c r="L287" s="455" t="s">
        <v>2261</v>
      </c>
      <c r="M287" s="456">
        <v>44197</v>
      </c>
      <c r="N287" s="456">
        <v>44561</v>
      </c>
      <c r="O287" s="455">
        <f>+R287+U287+X287+AA287+AD287+AG287+AJ287+AM287+AP287+AS287+AV287+AY287</f>
        <v>3</v>
      </c>
      <c r="P287" s="455">
        <v>5</v>
      </c>
      <c r="Q287" s="455">
        <v>0</v>
      </c>
      <c r="R287" s="455">
        <v>0</v>
      </c>
      <c r="S287" s="455" t="s">
        <v>2235</v>
      </c>
      <c r="T287" s="455">
        <v>0</v>
      </c>
      <c r="U287" s="455">
        <v>1</v>
      </c>
      <c r="V287" s="455" t="s">
        <v>2322</v>
      </c>
      <c r="W287" s="455">
        <v>0</v>
      </c>
      <c r="X287" s="455">
        <v>0</v>
      </c>
      <c r="Y287" s="457" t="s">
        <v>2323</v>
      </c>
      <c r="Z287" s="455">
        <v>0</v>
      </c>
      <c r="AA287" s="455">
        <v>1</v>
      </c>
      <c r="AB287" s="457" t="s">
        <v>2324</v>
      </c>
      <c r="AC287" s="455">
        <v>0</v>
      </c>
      <c r="AD287" s="474">
        <v>1</v>
      </c>
      <c r="AE287" s="475" t="s">
        <v>2867</v>
      </c>
      <c r="AF287" s="455">
        <v>0</v>
      </c>
      <c r="AG287" s="555">
        <v>0</v>
      </c>
      <c r="AH287" s="556" t="s">
        <v>2326</v>
      </c>
      <c r="AI287" s="455">
        <v>0</v>
      </c>
      <c r="AJ287" s="455"/>
      <c r="AK287" s="455"/>
      <c r="AL287" s="455">
        <v>0</v>
      </c>
      <c r="AM287" s="455"/>
      <c r="AN287" s="455"/>
      <c r="AO287" s="455">
        <v>0</v>
      </c>
      <c r="AP287" s="455"/>
      <c r="AQ287" s="455"/>
      <c r="AR287" s="455">
        <v>0</v>
      </c>
      <c r="AS287" s="455"/>
      <c r="AT287" s="455"/>
      <c r="AU287" s="455">
        <v>0</v>
      </c>
      <c r="AV287" s="455"/>
      <c r="AW287" s="455"/>
      <c r="AX287" s="455">
        <v>5</v>
      </c>
      <c r="AY287" s="453"/>
      <c r="AZ287" s="453"/>
      <c r="BA287" s="453">
        <f t="shared" si="12"/>
        <v>0</v>
      </c>
      <c r="BB287" s="413">
        <f t="shared" si="13"/>
        <v>3</v>
      </c>
      <c r="BC287" s="60">
        <f>+IF(BA287=0,+IF(BB287=0,"No programación, No avance",+IF(BB287&gt;0,+IF(BA287=0,BB287/P287))),BB287/BA287)</f>
        <v>0.6</v>
      </c>
    </row>
    <row r="288" spans="1:55" s="2" customFormat="1" ht="144">
      <c r="A288" s="713"/>
      <c r="B288" s="748"/>
      <c r="C288" s="685"/>
      <c r="D288" s="685"/>
      <c r="E288" s="455" t="s">
        <v>2328</v>
      </c>
      <c r="F288" s="455" t="s">
        <v>472</v>
      </c>
      <c r="G288" s="455">
        <v>0.1</v>
      </c>
      <c r="H288" s="455" t="s">
        <v>319</v>
      </c>
      <c r="I288" s="455" t="s">
        <v>73</v>
      </c>
      <c r="J288" s="455" t="s">
        <v>2296</v>
      </c>
      <c r="K288" s="455" t="s">
        <v>2233</v>
      </c>
      <c r="L288" s="455" t="s">
        <v>2261</v>
      </c>
      <c r="M288" s="456">
        <v>44197</v>
      </c>
      <c r="N288" s="456">
        <v>44561</v>
      </c>
      <c r="O288" s="455">
        <f>+R288+U288+X288+AA288+AD288+AG288+AJ288+AM288+AP288+AS288+AV288+AY288</f>
        <v>3</v>
      </c>
      <c r="P288" s="455">
        <v>3</v>
      </c>
      <c r="Q288" s="455">
        <v>0</v>
      </c>
      <c r="R288" s="455">
        <v>0</v>
      </c>
      <c r="S288" s="455" t="s">
        <v>2235</v>
      </c>
      <c r="T288" s="455">
        <v>0</v>
      </c>
      <c r="U288" s="455">
        <v>0</v>
      </c>
      <c r="V288" s="455" t="s">
        <v>2329</v>
      </c>
      <c r="W288" s="455">
        <v>0</v>
      </c>
      <c r="X288" s="455">
        <v>1</v>
      </c>
      <c r="Y288" s="457" t="s">
        <v>2330</v>
      </c>
      <c r="Z288" s="455">
        <v>0</v>
      </c>
      <c r="AA288" s="455">
        <v>1</v>
      </c>
      <c r="AB288" s="457" t="s">
        <v>2331</v>
      </c>
      <c r="AC288" s="455">
        <v>0</v>
      </c>
      <c r="AD288" s="474">
        <v>0</v>
      </c>
      <c r="AE288" s="475" t="s">
        <v>2235</v>
      </c>
      <c r="AF288" s="455">
        <v>0</v>
      </c>
      <c r="AG288" s="555">
        <v>1</v>
      </c>
      <c r="AH288" s="556" t="s">
        <v>2332</v>
      </c>
      <c r="AI288" s="455">
        <v>0</v>
      </c>
      <c r="AJ288" s="455"/>
      <c r="AK288" s="455"/>
      <c r="AL288" s="455">
        <v>0</v>
      </c>
      <c r="AM288" s="455"/>
      <c r="AN288" s="455"/>
      <c r="AO288" s="455">
        <v>0</v>
      </c>
      <c r="AP288" s="455"/>
      <c r="AQ288" s="455"/>
      <c r="AR288" s="455">
        <v>0</v>
      </c>
      <c r="AS288" s="455"/>
      <c r="AT288" s="455"/>
      <c r="AU288" s="455">
        <v>0</v>
      </c>
      <c r="AV288" s="455"/>
      <c r="AW288" s="455"/>
      <c r="AX288" s="455">
        <v>3</v>
      </c>
      <c r="AY288" s="453"/>
      <c r="AZ288" s="453"/>
      <c r="BA288" s="453">
        <f t="shared" si="12"/>
        <v>0</v>
      </c>
      <c r="BB288" s="413">
        <f t="shared" si="13"/>
        <v>3</v>
      </c>
      <c r="BC288" s="60">
        <f>+IF(BA288=0,+IF(BB288=0,"No programación, No avance",+IF(BB288&gt;0,+IF(BA288=0,BB288/P288))),BB288/BA288)</f>
        <v>1</v>
      </c>
    </row>
    <row r="289" spans="1:64" s="2" customFormat="1" ht="36" customHeight="1">
      <c r="A289" s="713"/>
      <c r="B289" s="748"/>
      <c r="C289" s="685" t="s">
        <v>331</v>
      </c>
      <c r="D289" s="685" t="s">
        <v>2334</v>
      </c>
      <c r="E289" s="455" t="s">
        <v>2335</v>
      </c>
      <c r="F289" s="455" t="s">
        <v>472</v>
      </c>
      <c r="G289" s="455">
        <v>0.35</v>
      </c>
      <c r="H289" s="455" t="s">
        <v>332</v>
      </c>
      <c r="I289" s="455" t="s">
        <v>73</v>
      </c>
      <c r="J289" s="455" t="s">
        <v>2296</v>
      </c>
      <c r="K289" s="455" t="s">
        <v>2336</v>
      </c>
      <c r="L289" s="455" t="s">
        <v>2261</v>
      </c>
      <c r="M289" s="456">
        <v>44197</v>
      </c>
      <c r="N289" s="456">
        <v>44561</v>
      </c>
      <c r="O289" s="455">
        <f>+R289+U289+X289+AA289+AD289+AG289+AJ289+AM289+AP289+AS289+AV289+AY289</f>
        <v>4</v>
      </c>
      <c r="P289" s="455">
        <v>2</v>
      </c>
      <c r="Q289" s="455">
        <v>0</v>
      </c>
      <c r="R289" s="455">
        <v>0</v>
      </c>
      <c r="S289" s="455" t="s">
        <v>2235</v>
      </c>
      <c r="T289" s="455">
        <v>0</v>
      </c>
      <c r="U289" s="455">
        <v>1</v>
      </c>
      <c r="V289" s="455" t="s">
        <v>2337</v>
      </c>
      <c r="W289" s="455">
        <v>0</v>
      </c>
      <c r="X289" s="455">
        <v>1</v>
      </c>
      <c r="Y289" s="457" t="s">
        <v>2338</v>
      </c>
      <c r="Z289" s="455">
        <v>0</v>
      </c>
      <c r="AA289" s="455">
        <v>1</v>
      </c>
      <c r="AB289" s="457" t="s">
        <v>2339</v>
      </c>
      <c r="AC289" s="455">
        <v>0</v>
      </c>
      <c r="AD289" s="474">
        <v>0</v>
      </c>
      <c r="AE289" s="475" t="s">
        <v>2340</v>
      </c>
      <c r="AF289" s="455">
        <v>0</v>
      </c>
      <c r="AG289" s="555">
        <v>1</v>
      </c>
      <c r="AH289" s="556" t="s">
        <v>2341</v>
      </c>
      <c r="AI289" s="455">
        <v>0</v>
      </c>
      <c r="AJ289" s="455"/>
      <c r="AK289" s="455"/>
      <c r="AL289" s="455">
        <v>0</v>
      </c>
      <c r="AM289" s="455"/>
      <c r="AN289" s="455"/>
      <c r="AO289" s="455">
        <v>0</v>
      </c>
      <c r="AP289" s="455"/>
      <c r="AQ289" s="455"/>
      <c r="AR289" s="455">
        <v>0</v>
      </c>
      <c r="AS289" s="455"/>
      <c r="AT289" s="455"/>
      <c r="AU289" s="455">
        <v>0</v>
      </c>
      <c r="AV289" s="455"/>
      <c r="AW289" s="455"/>
      <c r="AX289" s="455">
        <v>2</v>
      </c>
      <c r="AY289" s="453"/>
      <c r="AZ289" s="453"/>
      <c r="BA289" s="453">
        <f t="shared" si="12"/>
        <v>0</v>
      </c>
      <c r="BB289" s="413">
        <f t="shared" si="13"/>
        <v>4</v>
      </c>
      <c r="BC289" s="60">
        <f>+IF(BA289=0,+IF(BB289=0,"No programación, No avance",+IF(BB289&gt;0,+IF(BA289=0,BB289/P289))),BB289/BA289)</f>
        <v>2</v>
      </c>
    </row>
    <row r="290" spans="1:64" s="2" customFormat="1" ht="156.75" thickBot="1">
      <c r="A290" s="704"/>
      <c r="B290" s="739"/>
      <c r="C290" s="699"/>
      <c r="D290" s="699"/>
      <c r="E290" s="483" t="s">
        <v>2343</v>
      </c>
      <c r="F290" s="483" t="s">
        <v>472</v>
      </c>
      <c r="G290" s="483">
        <v>0.65</v>
      </c>
      <c r="H290" s="483" t="s">
        <v>332</v>
      </c>
      <c r="I290" s="483" t="s">
        <v>73</v>
      </c>
      <c r="J290" s="483" t="s">
        <v>2296</v>
      </c>
      <c r="K290" s="483" t="s">
        <v>2336</v>
      </c>
      <c r="L290" s="483" t="s">
        <v>2261</v>
      </c>
      <c r="M290" s="484">
        <v>44197</v>
      </c>
      <c r="N290" s="484">
        <v>44561</v>
      </c>
      <c r="O290" s="483">
        <f>+R290+U290+X290+AA290+AD290+AG290+AJ290+AM290+AP290+AS290+AV290+AY290</f>
        <v>4</v>
      </c>
      <c r="P290" s="483">
        <v>6</v>
      </c>
      <c r="Q290" s="483">
        <v>0</v>
      </c>
      <c r="R290" s="483">
        <v>0</v>
      </c>
      <c r="S290" s="483" t="s">
        <v>2235</v>
      </c>
      <c r="T290" s="483">
        <v>0</v>
      </c>
      <c r="U290" s="483">
        <v>1</v>
      </c>
      <c r="V290" s="483" t="s">
        <v>2344</v>
      </c>
      <c r="W290" s="483">
        <v>0</v>
      </c>
      <c r="X290" s="483">
        <v>1</v>
      </c>
      <c r="Y290" s="490" t="s">
        <v>2345</v>
      </c>
      <c r="Z290" s="483">
        <v>0</v>
      </c>
      <c r="AA290" s="483">
        <v>1</v>
      </c>
      <c r="AB290" s="490" t="s">
        <v>2346</v>
      </c>
      <c r="AC290" s="483">
        <v>0</v>
      </c>
      <c r="AD290" s="559">
        <v>1</v>
      </c>
      <c r="AE290" s="492" t="s">
        <v>2347</v>
      </c>
      <c r="AF290" s="483">
        <v>0</v>
      </c>
      <c r="AG290" s="560">
        <v>0</v>
      </c>
      <c r="AH290" s="561" t="s">
        <v>2348</v>
      </c>
      <c r="AI290" s="483">
        <v>0</v>
      </c>
      <c r="AJ290" s="483"/>
      <c r="AK290" s="483"/>
      <c r="AL290" s="483">
        <v>0</v>
      </c>
      <c r="AM290" s="483"/>
      <c r="AN290" s="483"/>
      <c r="AO290" s="483">
        <v>0</v>
      </c>
      <c r="AP290" s="483"/>
      <c r="AQ290" s="483"/>
      <c r="AR290" s="483">
        <v>0</v>
      </c>
      <c r="AS290" s="483"/>
      <c r="AT290" s="483"/>
      <c r="AU290" s="483">
        <v>0</v>
      </c>
      <c r="AV290" s="483"/>
      <c r="AW290" s="483"/>
      <c r="AX290" s="483">
        <v>6</v>
      </c>
      <c r="AY290" s="486"/>
      <c r="AZ290" s="486"/>
      <c r="BA290" s="453">
        <f t="shared" si="12"/>
        <v>0</v>
      </c>
      <c r="BB290" s="413">
        <f t="shared" si="13"/>
        <v>4</v>
      </c>
      <c r="BC290" s="67">
        <f>+IF(BA290=0,+IF(BB290=0,"No programación, No avance",+IF(BB290&gt;0,+IF(BA290=0,BB290/P290))),BB290/BA290)</f>
        <v>0.66666666666666663</v>
      </c>
    </row>
    <row r="291" spans="1:64" s="4" customFormat="1" ht="36" customHeight="1">
      <c r="A291" s="700" t="s">
        <v>26</v>
      </c>
      <c r="B291" s="714">
        <v>40.5</v>
      </c>
      <c r="C291" s="705" t="s">
        <v>334</v>
      </c>
      <c r="D291" s="705" t="s">
        <v>2350</v>
      </c>
      <c r="E291" s="429" t="s">
        <v>2351</v>
      </c>
      <c r="F291" s="429" t="s">
        <v>472</v>
      </c>
      <c r="G291" s="429">
        <v>0.1</v>
      </c>
      <c r="H291" s="429" t="s">
        <v>2352</v>
      </c>
      <c r="I291" s="429" t="s">
        <v>73</v>
      </c>
      <c r="J291" s="429" t="s">
        <v>902</v>
      </c>
      <c r="K291" s="429" t="s">
        <v>2353</v>
      </c>
      <c r="L291" s="429" t="s">
        <v>2354</v>
      </c>
      <c r="M291" s="430">
        <v>44197</v>
      </c>
      <c r="N291" s="430">
        <v>44561</v>
      </c>
      <c r="O291" s="429">
        <f>+R291+U291+X291+AA291+AD291+AG291+AJ291+AM291+AP291+AS291+AV291+AY291</f>
        <v>0</v>
      </c>
      <c r="P291" s="429">
        <v>1</v>
      </c>
      <c r="Q291" s="429">
        <v>0</v>
      </c>
      <c r="R291" s="429">
        <v>0</v>
      </c>
      <c r="S291" s="429" t="s">
        <v>2355</v>
      </c>
      <c r="T291" s="429">
        <v>0</v>
      </c>
      <c r="U291" s="429">
        <v>0</v>
      </c>
      <c r="V291" s="429" t="s">
        <v>2355</v>
      </c>
      <c r="W291" s="429">
        <v>0</v>
      </c>
      <c r="X291" s="429">
        <v>0</v>
      </c>
      <c r="Y291" s="429" t="s">
        <v>2355</v>
      </c>
      <c r="Z291" s="429">
        <v>0</v>
      </c>
      <c r="AA291" s="429">
        <v>0</v>
      </c>
      <c r="AB291" s="429" t="s">
        <v>2356</v>
      </c>
      <c r="AC291" s="429">
        <v>0</v>
      </c>
      <c r="AD291" s="433">
        <v>0</v>
      </c>
      <c r="AE291" s="432" t="s">
        <v>2356</v>
      </c>
      <c r="AF291" s="429">
        <v>0</v>
      </c>
      <c r="AG291" s="433">
        <v>0</v>
      </c>
      <c r="AH291" s="562" t="s">
        <v>2356</v>
      </c>
      <c r="AI291" s="429">
        <v>0</v>
      </c>
      <c r="AJ291" s="429"/>
      <c r="AK291" s="429"/>
      <c r="AL291" s="429">
        <v>0</v>
      </c>
      <c r="AM291" s="429"/>
      <c r="AN291" s="429"/>
      <c r="AO291" s="429">
        <v>0</v>
      </c>
      <c r="AP291" s="429"/>
      <c r="AQ291" s="429"/>
      <c r="AR291" s="429">
        <v>1</v>
      </c>
      <c r="AS291" s="429"/>
      <c r="AT291" s="429"/>
      <c r="AU291" s="429">
        <v>0</v>
      </c>
      <c r="AV291" s="429"/>
      <c r="AW291" s="429"/>
      <c r="AX291" s="429">
        <v>0</v>
      </c>
      <c r="AY291" s="431"/>
      <c r="AZ291" s="431"/>
      <c r="BA291" s="435">
        <f t="shared" si="12"/>
        <v>0</v>
      </c>
      <c r="BB291" s="435">
        <f t="shared" si="13"/>
        <v>0</v>
      </c>
      <c r="BC291" s="46" t="str">
        <f>+IF(BA291=0,+IF(BB291=0,"No programación, No avance",+IF(BB291&gt;0,+IF(BA291=0,BB291/P291))),BB291/BA291)</f>
        <v>No programación, No avance</v>
      </c>
      <c r="BD291" s="26">
        <f>+AVERAGE(BC291:BC297)</f>
        <v>0.93333333333333324</v>
      </c>
      <c r="BE291" s="3"/>
      <c r="BF291" s="3"/>
      <c r="BG291" s="3"/>
      <c r="BH291" s="3"/>
      <c r="BI291" s="3"/>
      <c r="BJ291" s="3"/>
      <c r="BK291" s="3"/>
      <c r="BL291" s="3"/>
    </row>
    <row r="292" spans="1:64" s="2" customFormat="1" ht="96">
      <c r="A292" s="701"/>
      <c r="B292" s="715"/>
      <c r="C292" s="706"/>
      <c r="D292" s="706"/>
      <c r="E292" s="433" t="s">
        <v>2358</v>
      </c>
      <c r="F292" s="433" t="s">
        <v>472</v>
      </c>
      <c r="G292" s="433">
        <v>0.1</v>
      </c>
      <c r="H292" s="433" t="s">
        <v>2359</v>
      </c>
      <c r="I292" s="433" t="s">
        <v>73</v>
      </c>
      <c r="J292" s="433" t="s">
        <v>902</v>
      </c>
      <c r="K292" s="433" t="s">
        <v>2353</v>
      </c>
      <c r="L292" s="433" t="s">
        <v>2354</v>
      </c>
      <c r="M292" s="434">
        <v>44197</v>
      </c>
      <c r="N292" s="434">
        <v>44561</v>
      </c>
      <c r="O292" s="433">
        <f>+R292+U292+X292+AA292+AD292+AG292+AJ292+AM292+AP292+AS292+AV292+AY292</f>
        <v>2</v>
      </c>
      <c r="P292" s="433">
        <v>6</v>
      </c>
      <c r="Q292" s="433">
        <v>0</v>
      </c>
      <c r="R292" s="433">
        <v>0</v>
      </c>
      <c r="S292" s="433" t="s">
        <v>2360</v>
      </c>
      <c r="T292" s="433">
        <v>0</v>
      </c>
      <c r="U292" s="433">
        <v>0</v>
      </c>
      <c r="V292" s="433" t="s">
        <v>2360</v>
      </c>
      <c r="W292" s="433">
        <v>0</v>
      </c>
      <c r="X292" s="433">
        <v>1</v>
      </c>
      <c r="Y292" s="433" t="s">
        <v>2361</v>
      </c>
      <c r="Z292" s="433">
        <v>0</v>
      </c>
      <c r="AA292" s="433">
        <v>0</v>
      </c>
      <c r="AB292" s="433" t="s">
        <v>2362</v>
      </c>
      <c r="AC292" s="433">
        <v>0</v>
      </c>
      <c r="AD292" s="498">
        <v>0</v>
      </c>
      <c r="AE292" s="436" t="s">
        <v>2363</v>
      </c>
      <c r="AF292" s="433">
        <v>3</v>
      </c>
      <c r="AG292" s="498">
        <v>1</v>
      </c>
      <c r="AH292" s="499" t="s">
        <v>2364</v>
      </c>
      <c r="AI292" s="433">
        <v>0</v>
      </c>
      <c r="AJ292" s="433"/>
      <c r="AK292" s="433"/>
      <c r="AL292" s="433">
        <v>0</v>
      </c>
      <c r="AM292" s="433"/>
      <c r="AN292" s="433"/>
      <c r="AO292" s="433">
        <v>0</v>
      </c>
      <c r="AP292" s="433"/>
      <c r="AQ292" s="433"/>
      <c r="AR292" s="433">
        <v>0</v>
      </c>
      <c r="AS292" s="433"/>
      <c r="AT292" s="433"/>
      <c r="AU292" s="433">
        <v>0</v>
      </c>
      <c r="AV292" s="433"/>
      <c r="AW292" s="433"/>
      <c r="AX292" s="433">
        <v>3</v>
      </c>
      <c r="AY292" s="435"/>
      <c r="AZ292" s="435"/>
      <c r="BA292" s="435">
        <f t="shared" si="12"/>
        <v>3</v>
      </c>
      <c r="BB292" s="435">
        <f t="shared" si="13"/>
        <v>2</v>
      </c>
      <c r="BC292" s="48">
        <f>+IF(BA292=0,+IF(BB292=0,"No programación, No avance",+IF(BB292&gt;0,+IF(BA292=0,BB292/P292))),BB292/BA292)</f>
        <v>0.66666666666666663</v>
      </c>
    </row>
    <row r="293" spans="1:64" s="2" customFormat="1" ht="108">
      <c r="A293" s="701"/>
      <c r="B293" s="715"/>
      <c r="C293" s="706"/>
      <c r="D293" s="706"/>
      <c r="E293" s="433" t="s">
        <v>2366</v>
      </c>
      <c r="F293" s="433" t="s">
        <v>472</v>
      </c>
      <c r="G293" s="433">
        <v>0.1</v>
      </c>
      <c r="H293" s="433" t="s">
        <v>2359</v>
      </c>
      <c r="I293" s="433" t="s">
        <v>73</v>
      </c>
      <c r="J293" s="433" t="s">
        <v>902</v>
      </c>
      <c r="K293" s="433" t="s">
        <v>2353</v>
      </c>
      <c r="L293" s="433" t="s">
        <v>2354</v>
      </c>
      <c r="M293" s="434">
        <v>44197</v>
      </c>
      <c r="N293" s="434">
        <v>44561</v>
      </c>
      <c r="O293" s="433">
        <f>+R293+U293+X293+AA293+AD293+AG293+AJ293+AM293+AP293+AS293+AV293+AY293</f>
        <v>2</v>
      </c>
      <c r="P293" s="433">
        <v>4</v>
      </c>
      <c r="Q293" s="433">
        <v>0</v>
      </c>
      <c r="R293" s="433">
        <v>0</v>
      </c>
      <c r="S293" s="433" t="s">
        <v>2367</v>
      </c>
      <c r="T293" s="433">
        <v>0</v>
      </c>
      <c r="U293" s="433">
        <v>0</v>
      </c>
      <c r="V293" s="433" t="s">
        <v>2367</v>
      </c>
      <c r="W293" s="433">
        <v>0</v>
      </c>
      <c r="X293" s="433">
        <v>0</v>
      </c>
      <c r="Y293" s="433" t="s">
        <v>2367</v>
      </c>
      <c r="Z293" s="433">
        <v>0</v>
      </c>
      <c r="AA293" s="433">
        <v>0</v>
      </c>
      <c r="AB293" s="433" t="s">
        <v>2367</v>
      </c>
      <c r="AC293" s="433">
        <v>0</v>
      </c>
      <c r="AD293" s="498">
        <v>1</v>
      </c>
      <c r="AE293" s="436" t="s">
        <v>2368</v>
      </c>
      <c r="AF293" s="433">
        <v>2</v>
      </c>
      <c r="AG293" s="498">
        <v>1</v>
      </c>
      <c r="AH293" s="499" t="s">
        <v>2369</v>
      </c>
      <c r="AI293" s="433">
        <v>0</v>
      </c>
      <c r="AJ293" s="433"/>
      <c r="AK293" s="433"/>
      <c r="AL293" s="433">
        <v>0</v>
      </c>
      <c r="AM293" s="433"/>
      <c r="AN293" s="433"/>
      <c r="AO293" s="433">
        <v>0</v>
      </c>
      <c r="AP293" s="433"/>
      <c r="AQ293" s="433"/>
      <c r="AR293" s="433">
        <v>0</v>
      </c>
      <c r="AS293" s="433"/>
      <c r="AT293" s="433"/>
      <c r="AU293" s="433">
        <v>0</v>
      </c>
      <c r="AV293" s="433"/>
      <c r="AW293" s="433"/>
      <c r="AX293" s="433">
        <v>2</v>
      </c>
      <c r="AY293" s="435"/>
      <c r="AZ293" s="435"/>
      <c r="BA293" s="435">
        <f t="shared" si="12"/>
        <v>2</v>
      </c>
      <c r="BB293" s="435">
        <f t="shared" si="13"/>
        <v>2</v>
      </c>
      <c r="BC293" s="48">
        <f>+IF(BA293=0,+IF(BB293=0,"No programación, No avance",+IF(BB293&gt;0,+IF(BA293=0,BB293/P293))),BB293/BA293)</f>
        <v>1</v>
      </c>
    </row>
    <row r="294" spans="1:64" s="2" customFormat="1" ht="96">
      <c r="A294" s="701"/>
      <c r="B294" s="715"/>
      <c r="C294" s="706"/>
      <c r="D294" s="706"/>
      <c r="E294" s="433" t="s">
        <v>2371</v>
      </c>
      <c r="F294" s="433" t="s">
        <v>472</v>
      </c>
      <c r="G294" s="433">
        <v>0.15</v>
      </c>
      <c r="H294" s="433" t="s">
        <v>2372</v>
      </c>
      <c r="I294" s="433" t="s">
        <v>73</v>
      </c>
      <c r="J294" s="433" t="s">
        <v>902</v>
      </c>
      <c r="K294" s="433" t="s">
        <v>2353</v>
      </c>
      <c r="L294" s="433" t="s">
        <v>2354</v>
      </c>
      <c r="M294" s="434">
        <v>44197</v>
      </c>
      <c r="N294" s="434">
        <v>44561</v>
      </c>
      <c r="O294" s="433">
        <f>+R294+U294+X294+AA294+AD294+AG294+AJ294+AM294+AP294+AS294+AV294+AY294</f>
        <v>1</v>
      </c>
      <c r="P294" s="433">
        <v>2</v>
      </c>
      <c r="Q294" s="433">
        <v>1</v>
      </c>
      <c r="R294" s="433">
        <v>0</v>
      </c>
      <c r="S294" s="433" t="s">
        <v>2373</v>
      </c>
      <c r="T294" s="433">
        <v>0</v>
      </c>
      <c r="U294" s="433">
        <v>1</v>
      </c>
      <c r="V294" s="433" t="s">
        <v>2374</v>
      </c>
      <c r="W294" s="433">
        <v>0</v>
      </c>
      <c r="X294" s="433">
        <v>0</v>
      </c>
      <c r="Y294" s="433" t="s">
        <v>2375</v>
      </c>
      <c r="Z294" s="433">
        <v>0</v>
      </c>
      <c r="AA294" s="433">
        <v>0</v>
      </c>
      <c r="AB294" s="433" t="s">
        <v>2375</v>
      </c>
      <c r="AC294" s="433">
        <v>0</v>
      </c>
      <c r="AD294" s="498">
        <v>0</v>
      </c>
      <c r="AE294" s="436" t="s">
        <v>2375</v>
      </c>
      <c r="AF294" s="433">
        <v>0</v>
      </c>
      <c r="AG294" s="498">
        <v>0</v>
      </c>
      <c r="AH294" s="499" t="s">
        <v>2376</v>
      </c>
      <c r="AI294" s="433">
        <v>1</v>
      </c>
      <c r="AJ294" s="433"/>
      <c r="AK294" s="433"/>
      <c r="AL294" s="433">
        <v>0</v>
      </c>
      <c r="AM294" s="433"/>
      <c r="AN294" s="433"/>
      <c r="AO294" s="433">
        <v>0</v>
      </c>
      <c r="AP294" s="433"/>
      <c r="AQ294" s="433"/>
      <c r="AR294" s="433">
        <v>0</v>
      </c>
      <c r="AS294" s="433"/>
      <c r="AT294" s="433"/>
      <c r="AU294" s="433">
        <v>0</v>
      </c>
      <c r="AV294" s="433"/>
      <c r="AW294" s="433"/>
      <c r="AX294" s="433">
        <v>0</v>
      </c>
      <c r="AY294" s="435"/>
      <c r="AZ294" s="435"/>
      <c r="BA294" s="435">
        <f t="shared" si="12"/>
        <v>1</v>
      </c>
      <c r="BB294" s="435">
        <f t="shared" si="13"/>
        <v>1</v>
      </c>
      <c r="BC294" s="48">
        <f>+IF(BA294=0,+IF(BB294=0,"No programación, No avance",+IF(BB294&gt;0,+IF(BA294=0,BB294/P294))),BB294/BA294)</f>
        <v>1</v>
      </c>
    </row>
    <row r="295" spans="1:64" s="2" customFormat="1" ht="120">
      <c r="A295" s="701"/>
      <c r="B295" s="715"/>
      <c r="C295" s="706"/>
      <c r="D295" s="706"/>
      <c r="E295" s="433" t="s">
        <v>2378</v>
      </c>
      <c r="F295" s="433" t="s">
        <v>472</v>
      </c>
      <c r="G295" s="433">
        <v>0.25</v>
      </c>
      <c r="H295" s="433" t="s">
        <v>2379</v>
      </c>
      <c r="I295" s="433" t="s">
        <v>73</v>
      </c>
      <c r="J295" s="433" t="s">
        <v>902</v>
      </c>
      <c r="K295" s="433" t="s">
        <v>2353</v>
      </c>
      <c r="L295" s="433" t="s">
        <v>2354</v>
      </c>
      <c r="M295" s="434">
        <v>44197</v>
      </c>
      <c r="N295" s="434">
        <v>44561</v>
      </c>
      <c r="O295" s="433">
        <f>+R295+U295+X295+AA295+AD295+AG295+AJ295+AM295+AP295+AS295+AV295+AY295</f>
        <v>2</v>
      </c>
      <c r="P295" s="433">
        <v>4</v>
      </c>
      <c r="Q295" s="433">
        <v>1</v>
      </c>
      <c r="R295" s="433">
        <v>0</v>
      </c>
      <c r="S295" s="433" t="s">
        <v>2380</v>
      </c>
      <c r="T295" s="433">
        <v>0</v>
      </c>
      <c r="U295" s="433">
        <v>1</v>
      </c>
      <c r="V295" s="433" t="s">
        <v>2381</v>
      </c>
      <c r="W295" s="433">
        <v>0</v>
      </c>
      <c r="X295" s="433">
        <v>0</v>
      </c>
      <c r="Y295" s="433" t="s">
        <v>2382</v>
      </c>
      <c r="Z295" s="433">
        <v>1</v>
      </c>
      <c r="AA295" s="433">
        <v>1</v>
      </c>
      <c r="AB295" s="436" t="s">
        <v>2383</v>
      </c>
      <c r="AC295" s="433">
        <v>0</v>
      </c>
      <c r="AD295" s="498">
        <v>0</v>
      </c>
      <c r="AE295" s="436" t="s">
        <v>2383</v>
      </c>
      <c r="AF295" s="433">
        <v>0</v>
      </c>
      <c r="AG295" s="498">
        <v>0</v>
      </c>
      <c r="AH295" s="499" t="s">
        <v>2384</v>
      </c>
      <c r="AI295" s="433">
        <v>1</v>
      </c>
      <c r="AJ295" s="433"/>
      <c r="AK295" s="433"/>
      <c r="AL295" s="433">
        <v>0</v>
      </c>
      <c r="AM295" s="433"/>
      <c r="AN295" s="433"/>
      <c r="AO295" s="433">
        <v>0</v>
      </c>
      <c r="AP295" s="433"/>
      <c r="AQ295" s="433"/>
      <c r="AR295" s="433">
        <v>1</v>
      </c>
      <c r="AS295" s="433"/>
      <c r="AT295" s="433"/>
      <c r="AU295" s="433">
        <v>0</v>
      </c>
      <c r="AV295" s="433"/>
      <c r="AW295" s="433"/>
      <c r="AX295" s="433">
        <v>0</v>
      </c>
      <c r="AY295" s="435"/>
      <c r="AZ295" s="435"/>
      <c r="BA295" s="435">
        <f t="shared" si="12"/>
        <v>2</v>
      </c>
      <c r="BB295" s="435">
        <f t="shared" si="13"/>
        <v>2</v>
      </c>
      <c r="BC295" s="48">
        <f>+IF(BA295=0,+IF(BB295=0,"No programación, No avance",+IF(BB295&gt;0,+IF(BA295=0,BB295/P295))),BB295/BA295)</f>
        <v>1</v>
      </c>
    </row>
    <row r="296" spans="1:64" s="2" customFormat="1" ht="60">
      <c r="A296" s="701"/>
      <c r="B296" s="715"/>
      <c r="C296" s="706"/>
      <c r="D296" s="706"/>
      <c r="E296" s="433" t="s">
        <v>2386</v>
      </c>
      <c r="F296" s="433" t="s">
        <v>472</v>
      </c>
      <c r="G296" s="433">
        <v>0.15</v>
      </c>
      <c r="H296" s="433" t="s">
        <v>2359</v>
      </c>
      <c r="I296" s="433" t="s">
        <v>73</v>
      </c>
      <c r="J296" s="433" t="s">
        <v>902</v>
      </c>
      <c r="K296" s="433" t="s">
        <v>2353</v>
      </c>
      <c r="L296" s="433" t="s">
        <v>2354</v>
      </c>
      <c r="M296" s="434">
        <v>44197</v>
      </c>
      <c r="N296" s="434">
        <v>44561</v>
      </c>
      <c r="O296" s="433">
        <f>+R296+U296+X296+AA296+AD296+AG296+AJ296+AM296+AP296+AS296+AV296+AY296</f>
        <v>0</v>
      </c>
      <c r="P296" s="433">
        <v>20</v>
      </c>
      <c r="Q296" s="433">
        <v>0</v>
      </c>
      <c r="R296" s="433">
        <v>0</v>
      </c>
      <c r="S296" s="433" t="s">
        <v>2387</v>
      </c>
      <c r="T296" s="433">
        <v>0</v>
      </c>
      <c r="U296" s="433">
        <v>0</v>
      </c>
      <c r="V296" s="433" t="s">
        <v>2387</v>
      </c>
      <c r="W296" s="433">
        <v>0</v>
      </c>
      <c r="X296" s="433">
        <v>0</v>
      </c>
      <c r="Y296" s="433" t="s">
        <v>2387</v>
      </c>
      <c r="Z296" s="433">
        <v>0</v>
      </c>
      <c r="AA296" s="433">
        <v>0</v>
      </c>
      <c r="AB296" s="433" t="s">
        <v>2387</v>
      </c>
      <c r="AC296" s="433">
        <v>0</v>
      </c>
      <c r="AD296" s="498">
        <v>0</v>
      </c>
      <c r="AE296" s="436" t="s">
        <v>2387</v>
      </c>
      <c r="AF296" s="433">
        <v>0</v>
      </c>
      <c r="AG296" s="498">
        <v>0</v>
      </c>
      <c r="AH296" s="499" t="s">
        <v>2387</v>
      </c>
      <c r="AI296" s="433">
        <v>0</v>
      </c>
      <c r="AJ296" s="433"/>
      <c r="AK296" s="433"/>
      <c r="AL296" s="433">
        <v>10</v>
      </c>
      <c r="AM296" s="433"/>
      <c r="AN296" s="433"/>
      <c r="AO296" s="433">
        <v>0</v>
      </c>
      <c r="AP296" s="433"/>
      <c r="AQ296" s="433"/>
      <c r="AR296" s="433">
        <v>0</v>
      </c>
      <c r="AS296" s="433"/>
      <c r="AT296" s="433"/>
      <c r="AU296" s="433">
        <v>10</v>
      </c>
      <c r="AV296" s="433"/>
      <c r="AW296" s="433"/>
      <c r="AX296" s="433">
        <v>0</v>
      </c>
      <c r="AY296" s="435"/>
      <c r="AZ296" s="435"/>
      <c r="BA296" s="435">
        <f t="shared" si="12"/>
        <v>0</v>
      </c>
      <c r="BB296" s="435">
        <f t="shared" si="13"/>
        <v>0</v>
      </c>
      <c r="BC296" s="48" t="str">
        <f>+IF(BA296=0,+IF(BB296=0,"No programación, No avance",+IF(BB296&gt;0,+IF(BA296=0,BB296/P296))),BB296/BA296)</f>
        <v>No programación, No avance</v>
      </c>
    </row>
    <row r="297" spans="1:64" s="2" customFormat="1" ht="144.75" thickBot="1">
      <c r="A297" s="702"/>
      <c r="B297" s="716"/>
      <c r="C297" s="707"/>
      <c r="D297" s="707"/>
      <c r="E297" s="440" t="s">
        <v>2389</v>
      </c>
      <c r="F297" s="440" t="s">
        <v>472</v>
      </c>
      <c r="G297" s="440">
        <v>0.15</v>
      </c>
      <c r="H297" s="440" t="s">
        <v>2379</v>
      </c>
      <c r="I297" s="440" t="s">
        <v>73</v>
      </c>
      <c r="J297" s="440" t="s">
        <v>902</v>
      </c>
      <c r="K297" s="440" t="s">
        <v>2353</v>
      </c>
      <c r="L297" s="440" t="s">
        <v>2354</v>
      </c>
      <c r="M297" s="441">
        <v>44197</v>
      </c>
      <c r="N297" s="441">
        <v>44561</v>
      </c>
      <c r="O297" s="440">
        <f>+R297+U297+X297+AA297+AD297+AG297+AJ297+AM297+AP297+AS297+AV297+AY297</f>
        <v>1</v>
      </c>
      <c r="P297" s="440">
        <v>1</v>
      </c>
      <c r="Q297" s="440">
        <v>0</v>
      </c>
      <c r="R297" s="440">
        <v>1</v>
      </c>
      <c r="S297" s="440" t="s">
        <v>2390</v>
      </c>
      <c r="T297" s="440">
        <v>0</v>
      </c>
      <c r="U297" s="440">
        <v>0</v>
      </c>
      <c r="V297" s="440" t="s">
        <v>2391</v>
      </c>
      <c r="W297" s="440">
        <v>1</v>
      </c>
      <c r="X297" s="440">
        <v>0</v>
      </c>
      <c r="Y297" s="440" t="s">
        <v>2392</v>
      </c>
      <c r="Z297" s="440">
        <v>0</v>
      </c>
      <c r="AA297" s="440">
        <v>0</v>
      </c>
      <c r="AB297" s="444" t="s">
        <v>2392</v>
      </c>
      <c r="AC297" s="440">
        <v>0</v>
      </c>
      <c r="AD297" s="498">
        <v>0</v>
      </c>
      <c r="AE297" s="444" t="s">
        <v>2392</v>
      </c>
      <c r="AF297" s="440">
        <v>0</v>
      </c>
      <c r="AG297" s="498">
        <v>0</v>
      </c>
      <c r="AH297" s="499" t="s">
        <v>2392</v>
      </c>
      <c r="AI297" s="440">
        <v>0</v>
      </c>
      <c r="AJ297" s="440"/>
      <c r="AK297" s="440"/>
      <c r="AL297" s="440">
        <v>0</v>
      </c>
      <c r="AM297" s="440"/>
      <c r="AN297" s="440"/>
      <c r="AO297" s="440">
        <v>0</v>
      </c>
      <c r="AP297" s="440"/>
      <c r="AQ297" s="440"/>
      <c r="AR297" s="440">
        <v>0</v>
      </c>
      <c r="AS297" s="440"/>
      <c r="AT297" s="440"/>
      <c r="AU297" s="440">
        <v>0</v>
      </c>
      <c r="AV297" s="440"/>
      <c r="AW297" s="440"/>
      <c r="AX297" s="440">
        <v>0</v>
      </c>
      <c r="AY297" s="442"/>
      <c r="AZ297" s="442"/>
      <c r="BA297" s="435">
        <f t="shared" si="12"/>
        <v>1</v>
      </c>
      <c r="BB297" s="435">
        <f t="shared" si="13"/>
        <v>1</v>
      </c>
      <c r="BC297" s="52">
        <f>+IF(BA297=0,+IF(BB297=0,"No programación, No avance",+IF(BB297&gt;0,+IF(BA297=0,BB297/P297))),BB297/BA297)</f>
        <v>1</v>
      </c>
    </row>
    <row r="298" spans="1:64" s="2" customFormat="1" ht="36" customHeight="1">
      <c r="A298" s="703" t="s">
        <v>27</v>
      </c>
      <c r="B298" s="738">
        <v>53.6</v>
      </c>
      <c r="C298" s="710" t="s">
        <v>336</v>
      </c>
      <c r="D298" s="710" t="s">
        <v>337</v>
      </c>
      <c r="E298" s="447" t="s">
        <v>2394</v>
      </c>
      <c r="F298" s="447" t="s">
        <v>472</v>
      </c>
      <c r="G298" s="447">
        <v>0.8</v>
      </c>
      <c r="H298" s="447" t="s">
        <v>2395</v>
      </c>
      <c r="I298" s="447" t="s">
        <v>217</v>
      </c>
      <c r="J298" s="447" t="s">
        <v>2396</v>
      </c>
      <c r="K298" s="447" t="s">
        <v>2397</v>
      </c>
      <c r="L298" s="447" t="s">
        <v>2398</v>
      </c>
      <c r="M298" s="448">
        <v>44197</v>
      </c>
      <c r="N298" s="448">
        <v>44561</v>
      </c>
      <c r="O298" s="447">
        <f>+R298+U298+X298+AA298+AD298+AG298+AJ298+AM298+AP298+AS298+AV298+AY298</f>
        <v>157000</v>
      </c>
      <c r="P298" s="447">
        <v>800000</v>
      </c>
      <c r="Q298" s="447">
        <v>0</v>
      </c>
      <c r="R298" s="447">
        <v>0</v>
      </c>
      <c r="S298" s="447"/>
      <c r="T298" s="447">
        <v>0</v>
      </c>
      <c r="U298" s="447">
        <v>0</v>
      </c>
      <c r="V298" s="447"/>
      <c r="W298" s="447">
        <v>0</v>
      </c>
      <c r="X298" s="447">
        <f>20000</f>
        <v>20000</v>
      </c>
      <c r="Y298" s="451" t="s">
        <v>2399</v>
      </c>
      <c r="Z298" s="447">
        <v>0</v>
      </c>
      <c r="AA298" s="447">
        <v>0</v>
      </c>
      <c r="AB298" s="451" t="s">
        <v>2400</v>
      </c>
      <c r="AC298" s="447">
        <v>0</v>
      </c>
      <c r="AD298" s="563">
        <v>137000</v>
      </c>
      <c r="AE298" s="451" t="s">
        <v>2401</v>
      </c>
      <c r="AF298" s="447">
        <v>400000</v>
      </c>
      <c r="AG298" s="447">
        <v>0</v>
      </c>
      <c r="AH298" s="447" t="s">
        <v>2402</v>
      </c>
      <c r="AI298" s="447">
        <v>0</v>
      </c>
      <c r="AJ298" s="447"/>
      <c r="AK298" s="447"/>
      <c r="AL298" s="447">
        <v>0</v>
      </c>
      <c r="AM298" s="447"/>
      <c r="AN298" s="447"/>
      <c r="AO298" s="447">
        <v>0</v>
      </c>
      <c r="AP298" s="447"/>
      <c r="AQ298" s="447"/>
      <c r="AR298" s="447">
        <v>0</v>
      </c>
      <c r="AS298" s="447"/>
      <c r="AT298" s="447"/>
      <c r="AU298" s="447">
        <v>0</v>
      </c>
      <c r="AV298" s="447"/>
      <c r="AW298" s="447"/>
      <c r="AX298" s="447">
        <v>400000</v>
      </c>
      <c r="AY298" s="449"/>
      <c r="AZ298" s="449"/>
      <c r="BA298" s="453">
        <f t="shared" si="12"/>
        <v>400000</v>
      </c>
      <c r="BB298" s="453">
        <f t="shared" si="13"/>
        <v>157000</v>
      </c>
      <c r="BC298" s="454">
        <f>+IF(BA298=0,+IF(BB298=0,"No programación, No avance",+IF(BB298&gt;0,+IF(BA298=0,BB298/P298))),BB298/BA298)</f>
        <v>0.39250000000000002</v>
      </c>
      <c r="BD298" s="2">
        <f>+AVERAGE(BC298:BC316)</f>
        <v>0.89431006493506493</v>
      </c>
    </row>
    <row r="299" spans="1:64" s="2" customFormat="1" ht="180">
      <c r="A299" s="713"/>
      <c r="B299" s="748"/>
      <c r="C299" s="685"/>
      <c r="D299" s="685"/>
      <c r="E299" s="455" t="s">
        <v>2404</v>
      </c>
      <c r="F299" s="455" t="s">
        <v>472</v>
      </c>
      <c r="G299" s="455">
        <v>0.2</v>
      </c>
      <c r="H299" s="455" t="s">
        <v>2395</v>
      </c>
      <c r="I299" s="455" t="s">
        <v>217</v>
      </c>
      <c r="J299" s="455" t="s">
        <v>2396</v>
      </c>
      <c r="K299" s="455" t="s">
        <v>2397</v>
      </c>
      <c r="L299" s="455" t="s">
        <v>2398</v>
      </c>
      <c r="M299" s="456">
        <v>44197</v>
      </c>
      <c r="N299" s="456">
        <v>44561</v>
      </c>
      <c r="O299" s="455">
        <f>+R299+U299+X299+AA299+AD299+AG299+AJ299+AM299+AP299+AS299+AV299+AY299</f>
        <v>0</v>
      </c>
      <c r="P299" s="455">
        <v>200000</v>
      </c>
      <c r="Q299" s="455">
        <v>0</v>
      </c>
      <c r="R299" s="455">
        <v>0</v>
      </c>
      <c r="S299" s="455"/>
      <c r="T299" s="455">
        <v>0</v>
      </c>
      <c r="U299" s="455">
        <v>0</v>
      </c>
      <c r="V299" s="455"/>
      <c r="W299" s="455">
        <v>0</v>
      </c>
      <c r="X299" s="455">
        <v>0</v>
      </c>
      <c r="Y299" s="457" t="s">
        <v>2405</v>
      </c>
      <c r="Z299" s="455">
        <v>0</v>
      </c>
      <c r="AA299" s="455">
        <v>0</v>
      </c>
      <c r="AB299" s="457" t="s">
        <v>2406</v>
      </c>
      <c r="AC299" s="455">
        <v>0</v>
      </c>
      <c r="AD299" s="455">
        <v>0</v>
      </c>
      <c r="AE299" s="457" t="s">
        <v>2407</v>
      </c>
      <c r="AF299" s="455">
        <v>100000</v>
      </c>
      <c r="AG299" s="455">
        <v>0</v>
      </c>
      <c r="AH299" s="455" t="s">
        <v>2408</v>
      </c>
      <c r="AI299" s="455">
        <v>0</v>
      </c>
      <c r="AJ299" s="455"/>
      <c r="AK299" s="455"/>
      <c r="AL299" s="455">
        <v>0</v>
      </c>
      <c r="AM299" s="455"/>
      <c r="AN299" s="455"/>
      <c r="AO299" s="455">
        <v>0</v>
      </c>
      <c r="AP299" s="455"/>
      <c r="AQ299" s="455"/>
      <c r="AR299" s="455">
        <v>0</v>
      </c>
      <c r="AS299" s="455"/>
      <c r="AT299" s="455"/>
      <c r="AU299" s="455">
        <v>0</v>
      </c>
      <c r="AV299" s="455"/>
      <c r="AW299" s="455"/>
      <c r="AX299" s="455">
        <v>100000</v>
      </c>
      <c r="AY299" s="453"/>
      <c r="AZ299" s="453"/>
      <c r="BA299" s="453">
        <f t="shared" si="12"/>
        <v>100000</v>
      </c>
      <c r="BB299" s="453">
        <f t="shared" si="13"/>
        <v>0</v>
      </c>
      <c r="BC299" s="459">
        <f>+IF(BA299=0,+IF(BB299=0,"No programación, No avance",+IF(BB299&gt;0,+IF(BA299=0,BB299/P299))),BB299/BA299)</f>
        <v>0</v>
      </c>
    </row>
    <row r="300" spans="1:64" s="2" customFormat="1" ht="64.5" customHeight="1">
      <c r="A300" s="713"/>
      <c r="B300" s="748"/>
      <c r="C300" s="685" t="s">
        <v>340</v>
      </c>
      <c r="D300" s="685" t="s">
        <v>341</v>
      </c>
      <c r="E300" s="455" t="s">
        <v>2410</v>
      </c>
      <c r="F300" s="455" t="s">
        <v>472</v>
      </c>
      <c r="G300" s="455" t="s">
        <v>2411</v>
      </c>
      <c r="H300" s="455" t="s">
        <v>338</v>
      </c>
      <c r="I300" s="455" t="s">
        <v>73</v>
      </c>
      <c r="J300" s="455" t="s">
        <v>2412</v>
      </c>
      <c r="K300" s="455" t="s">
        <v>2413</v>
      </c>
      <c r="L300" s="455" t="s">
        <v>2414</v>
      </c>
      <c r="M300" s="456">
        <v>44197</v>
      </c>
      <c r="N300" s="456">
        <v>44561</v>
      </c>
      <c r="O300" s="455">
        <f>+R300+U300+X300+AA300+AD300+AG300+AJ300+AM300+AP300+AS300+AV300+AY300</f>
        <v>10</v>
      </c>
      <c r="P300" s="455">
        <v>12</v>
      </c>
      <c r="Q300" s="455">
        <v>0</v>
      </c>
      <c r="R300" s="455">
        <v>0</v>
      </c>
      <c r="S300" s="455"/>
      <c r="T300" s="455">
        <v>0</v>
      </c>
      <c r="U300" s="455">
        <v>0</v>
      </c>
      <c r="V300" s="455"/>
      <c r="W300" s="455">
        <v>3</v>
      </c>
      <c r="X300" s="455">
        <v>2</v>
      </c>
      <c r="Y300" s="457" t="s">
        <v>2415</v>
      </c>
      <c r="Z300" s="455">
        <v>1</v>
      </c>
      <c r="AA300" s="455">
        <v>2</v>
      </c>
      <c r="AB300" s="457" t="s">
        <v>2416</v>
      </c>
      <c r="AC300" s="455">
        <v>1</v>
      </c>
      <c r="AD300" s="455">
        <v>4</v>
      </c>
      <c r="AE300" s="457" t="s">
        <v>2417</v>
      </c>
      <c r="AF300" s="455">
        <v>6</v>
      </c>
      <c r="AG300" s="455">
        <v>2</v>
      </c>
      <c r="AH300" s="455" t="s">
        <v>2418</v>
      </c>
      <c r="AI300" s="455">
        <v>0</v>
      </c>
      <c r="AJ300" s="455"/>
      <c r="AK300" s="455"/>
      <c r="AL300" s="455">
        <v>0</v>
      </c>
      <c r="AM300" s="455"/>
      <c r="AN300" s="455"/>
      <c r="AO300" s="455">
        <v>0</v>
      </c>
      <c r="AP300" s="455"/>
      <c r="AQ300" s="455"/>
      <c r="AR300" s="455">
        <v>0</v>
      </c>
      <c r="AS300" s="455"/>
      <c r="AT300" s="455"/>
      <c r="AU300" s="455">
        <v>0</v>
      </c>
      <c r="AV300" s="455"/>
      <c r="AW300" s="455"/>
      <c r="AX300" s="455">
        <v>3</v>
      </c>
      <c r="AY300" s="453"/>
      <c r="AZ300" s="453"/>
      <c r="BA300" s="453">
        <f t="shared" si="12"/>
        <v>11</v>
      </c>
      <c r="BB300" s="453">
        <f t="shared" si="13"/>
        <v>10</v>
      </c>
      <c r="BC300" s="459">
        <f>+IF(BA300=0,+IF(BB300=0,"No programación, No avance",+IF(BB300&gt;0,+IF(BA300=0,BB300/P300))),BB300/BA300)</f>
        <v>0.90909090909090906</v>
      </c>
    </row>
    <row r="301" spans="1:64" s="2" customFormat="1" ht="80.25" customHeight="1">
      <c r="A301" s="713"/>
      <c r="B301" s="748"/>
      <c r="C301" s="685"/>
      <c r="D301" s="685"/>
      <c r="E301" s="455" t="s">
        <v>2420</v>
      </c>
      <c r="F301" s="455" t="s">
        <v>472</v>
      </c>
      <c r="G301" s="455">
        <v>0.5</v>
      </c>
      <c r="H301" s="455" t="s">
        <v>338</v>
      </c>
      <c r="I301" s="455" t="s">
        <v>73</v>
      </c>
      <c r="J301" s="455" t="s">
        <v>2412</v>
      </c>
      <c r="K301" s="455" t="s">
        <v>2421</v>
      </c>
      <c r="L301" s="455" t="s">
        <v>2414</v>
      </c>
      <c r="M301" s="456">
        <v>44197</v>
      </c>
      <c r="N301" s="456">
        <v>44561</v>
      </c>
      <c r="O301" s="455">
        <f>+R301+U301+X301+AA301+AD301+AG301+AJ301+AM301+AP301+AS301+AV301+AY301</f>
        <v>19</v>
      </c>
      <c r="P301" s="455">
        <v>24</v>
      </c>
      <c r="Q301" s="455">
        <v>0</v>
      </c>
      <c r="R301" s="455">
        <v>0</v>
      </c>
      <c r="S301" s="455"/>
      <c r="T301" s="455">
        <v>0</v>
      </c>
      <c r="U301" s="455">
        <v>0</v>
      </c>
      <c r="V301" s="455"/>
      <c r="W301" s="455">
        <v>6</v>
      </c>
      <c r="X301" s="455">
        <v>6</v>
      </c>
      <c r="Y301" s="457" t="s">
        <v>2422</v>
      </c>
      <c r="Z301" s="455">
        <v>2</v>
      </c>
      <c r="AA301" s="455">
        <v>3</v>
      </c>
      <c r="AB301" s="457" t="s">
        <v>2423</v>
      </c>
      <c r="AC301" s="455">
        <v>2</v>
      </c>
      <c r="AD301" s="455">
        <v>5</v>
      </c>
      <c r="AE301" s="457" t="s">
        <v>2424</v>
      </c>
      <c r="AF301" s="455">
        <v>6</v>
      </c>
      <c r="AG301" s="455">
        <v>5</v>
      </c>
      <c r="AH301" s="455" t="s">
        <v>2425</v>
      </c>
      <c r="AI301" s="455">
        <v>0</v>
      </c>
      <c r="AJ301" s="455"/>
      <c r="AK301" s="455"/>
      <c r="AL301" s="455">
        <v>0</v>
      </c>
      <c r="AM301" s="455"/>
      <c r="AN301" s="455"/>
      <c r="AO301" s="455">
        <v>6</v>
      </c>
      <c r="AP301" s="455"/>
      <c r="AQ301" s="455"/>
      <c r="AR301" s="455">
        <v>0</v>
      </c>
      <c r="AS301" s="455"/>
      <c r="AT301" s="455"/>
      <c r="AU301" s="455">
        <v>0</v>
      </c>
      <c r="AV301" s="455"/>
      <c r="AW301" s="455"/>
      <c r="AX301" s="455">
        <v>6</v>
      </c>
      <c r="AY301" s="453"/>
      <c r="AZ301" s="453"/>
      <c r="BA301" s="453">
        <f t="shared" si="12"/>
        <v>16</v>
      </c>
      <c r="BB301" s="453">
        <f t="shared" si="13"/>
        <v>19</v>
      </c>
      <c r="BC301" s="459">
        <f>+IF(BA301=0,+IF(BB301=0,"No programación, No avance",+IF(BB301&gt;0,+IF(BA301=0,BB301/P301))),BB301/BA301)</f>
        <v>1.1875</v>
      </c>
    </row>
    <row r="302" spans="1:64" s="2" customFormat="1" ht="80.25" customHeight="1">
      <c r="A302" s="713"/>
      <c r="B302" s="748"/>
      <c r="C302" s="685" t="s">
        <v>342</v>
      </c>
      <c r="D302" s="685" t="s">
        <v>343</v>
      </c>
      <c r="E302" s="455" t="s">
        <v>2426</v>
      </c>
      <c r="F302" s="455" t="s">
        <v>472</v>
      </c>
      <c r="G302" s="455">
        <v>0.5</v>
      </c>
      <c r="H302" s="455" t="s">
        <v>346</v>
      </c>
      <c r="I302" s="455" t="s">
        <v>79</v>
      </c>
      <c r="J302" s="455" t="s">
        <v>2427</v>
      </c>
      <c r="K302" s="455" t="s">
        <v>2428</v>
      </c>
      <c r="L302" s="455" t="s">
        <v>2414</v>
      </c>
      <c r="M302" s="456">
        <v>44197</v>
      </c>
      <c r="N302" s="456">
        <v>44561</v>
      </c>
      <c r="O302" s="455">
        <f>+R302+U302+X302+AA302+AD302+AG302+AJ302+AM302+AP302+AS302+AV302+AY302</f>
        <v>0</v>
      </c>
      <c r="P302" s="455">
        <v>1</v>
      </c>
      <c r="Q302" s="455">
        <v>0</v>
      </c>
      <c r="R302" s="455">
        <v>0</v>
      </c>
      <c r="S302" s="455"/>
      <c r="T302" s="455">
        <v>0</v>
      </c>
      <c r="U302" s="466">
        <v>0</v>
      </c>
      <c r="V302" s="455"/>
      <c r="W302" s="455">
        <v>0</v>
      </c>
      <c r="X302" s="466">
        <v>0</v>
      </c>
      <c r="Y302" s="457"/>
      <c r="Z302" s="455">
        <v>0</v>
      </c>
      <c r="AA302" s="466">
        <v>0</v>
      </c>
      <c r="AB302" s="455"/>
      <c r="AC302" s="455">
        <v>0</v>
      </c>
      <c r="AD302" s="482">
        <v>0</v>
      </c>
      <c r="AE302" s="455" t="s">
        <v>2429</v>
      </c>
      <c r="AF302" s="455">
        <v>0</v>
      </c>
      <c r="AG302" s="455">
        <v>0</v>
      </c>
      <c r="AH302" s="455" t="s">
        <v>2429</v>
      </c>
      <c r="AI302" s="455">
        <v>0</v>
      </c>
      <c r="AJ302" s="455"/>
      <c r="AK302" s="455"/>
      <c r="AL302" s="455">
        <v>0</v>
      </c>
      <c r="AM302" s="455"/>
      <c r="AN302" s="455"/>
      <c r="AO302" s="455">
        <v>0</v>
      </c>
      <c r="AP302" s="455"/>
      <c r="AQ302" s="455"/>
      <c r="AR302" s="455">
        <v>1</v>
      </c>
      <c r="AS302" s="455"/>
      <c r="AT302" s="455"/>
      <c r="AU302" s="455">
        <v>0</v>
      </c>
      <c r="AV302" s="455"/>
      <c r="AW302" s="455"/>
      <c r="AX302" s="455">
        <v>0</v>
      </c>
      <c r="AY302" s="453"/>
      <c r="AZ302" s="453"/>
      <c r="BA302" s="453">
        <f t="shared" si="12"/>
        <v>0</v>
      </c>
      <c r="BB302" s="453">
        <f t="shared" si="13"/>
        <v>0</v>
      </c>
      <c r="BC302" s="459" t="str">
        <f>+IF(BA302=0,+IF(BB302=0,"No programación, No avance",+IF(BB302&gt;0,+IF(BA302=0,BB302/P302))),BB302/BA302)</f>
        <v>No programación, No avance</v>
      </c>
    </row>
    <row r="303" spans="1:64" s="2" customFormat="1" ht="80.25" customHeight="1">
      <c r="A303" s="713"/>
      <c r="B303" s="748"/>
      <c r="C303" s="685"/>
      <c r="D303" s="685"/>
      <c r="E303" s="455" t="s">
        <v>2430</v>
      </c>
      <c r="F303" s="455" t="s">
        <v>472</v>
      </c>
      <c r="G303" s="455">
        <v>0.5</v>
      </c>
      <c r="H303" s="455" t="s">
        <v>346</v>
      </c>
      <c r="I303" s="455" t="s">
        <v>73</v>
      </c>
      <c r="J303" s="455" t="s">
        <v>2431</v>
      </c>
      <c r="K303" s="455" t="s">
        <v>2431</v>
      </c>
      <c r="L303" s="455" t="s">
        <v>2414</v>
      </c>
      <c r="M303" s="456">
        <v>44197</v>
      </c>
      <c r="N303" s="456">
        <v>44561</v>
      </c>
      <c r="O303" s="455">
        <f>+R303+U303+X303+AA303+AD303+AG303+AJ303+AM303+AP303+AS303+AV303+AY303</f>
        <v>0</v>
      </c>
      <c r="P303" s="455">
        <v>1</v>
      </c>
      <c r="Q303" s="455">
        <v>0</v>
      </c>
      <c r="R303" s="455">
        <v>0</v>
      </c>
      <c r="S303" s="455"/>
      <c r="T303" s="455">
        <v>0</v>
      </c>
      <c r="U303" s="455">
        <v>0</v>
      </c>
      <c r="V303" s="455"/>
      <c r="W303" s="455">
        <v>0</v>
      </c>
      <c r="X303" s="455">
        <v>0</v>
      </c>
      <c r="Y303" s="457"/>
      <c r="Z303" s="455">
        <v>0</v>
      </c>
      <c r="AA303" s="455">
        <v>0</v>
      </c>
      <c r="AB303" s="455"/>
      <c r="AC303" s="455">
        <v>0</v>
      </c>
      <c r="AD303" s="455">
        <v>0</v>
      </c>
      <c r="AE303" s="455" t="s">
        <v>2868</v>
      </c>
      <c r="AF303" s="455">
        <v>0</v>
      </c>
      <c r="AG303" s="455">
        <v>0</v>
      </c>
      <c r="AH303" s="455" t="s">
        <v>2432</v>
      </c>
      <c r="AI303" s="455">
        <v>0</v>
      </c>
      <c r="AJ303" s="455"/>
      <c r="AK303" s="455"/>
      <c r="AL303" s="455">
        <v>0</v>
      </c>
      <c r="AM303" s="455"/>
      <c r="AN303" s="455"/>
      <c r="AO303" s="455">
        <v>0</v>
      </c>
      <c r="AP303" s="455"/>
      <c r="AQ303" s="455"/>
      <c r="AR303" s="455">
        <v>1</v>
      </c>
      <c r="AS303" s="455"/>
      <c r="AT303" s="455"/>
      <c r="AU303" s="455">
        <v>0</v>
      </c>
      <c r="AV303" s="455"/>
      <c r="AW303" s="455"/>
      <c r="AX303" s="455">
        <v>0</v>
      </c>
      <c r="AY303" s="453"/>
      <c r="AZ303" s="453"/>
      <c r="BA303" s="453">
        <f t="shared" si="12"/>
        <v>0</v>
      </c>
      <c r="BB303" s="453">
        <f t="shared" si="13"/>
        <v>0</v>
      </c>
      <c r="BC303" s="459" t="str">
        <f>+IF(BA303=0,+IF(BB303=0,"No programación, No avance",+IF(BB303&gt;0,+IF(BA303=0,BB303/P303))),BB303/BA303)</f>
        <v>No programación, No avance</v>
      </c>
    </row>
    <row r="304" spans="1:64" s="2" customFormat="1" ht="80.25" customHeight="1">
      <c r="A304" s="713"/>
      <c r="B304" s="748"/>
      <c r="C304" s="455" t="s">
        <v>344</v>
      </c>
      <c r="D304" s="455" t="s">
        <v>345</v>
      </c>
      <c r="E304" s="455" t="s">
        <v>2433</v>
      </c>
      <c r="F304" s="455" t="s">
        <v>472</v>
      </c>
      <c r="G304" s="455">
        <v>1</v>
      </c>
      <c r="H304" s="455" t="s">
        <v>2434</v>
      </c>
      <c r="I304" s="455" t="s">
        <v>73</v>
      </c>
      <c r="J304" s="455" t="s">
        <v>2435</v>
      </c>
      <c r="K304" s="455" t="s">
        <v>2435</v>
      </c>
      <c r="L304" s="455" t="s">
        <v>2414</v>
      </c>
      <c r="M304" s="456">
        <v>44197</v>
      </c>
      <c r="N304" s="456">
        <v>44561</v>
      </c>
      <c r="O304" s="455">
        <f>+R304+U304+X304+AA304+AD304+AG304+AJ304+AM304+AP304+AS304+AV304+AY304</f>
        <v>6</v>
      </c>
      <c r="P304" s="455">
        <v>6</v>
      </c>
      <c r="Q304" s="455">
        <v>0</v>
      </c>
      <c r="R304" s="455">
        <v>0</v>
      </c>
      <c r="S304" s="455"/>
      <c r="T304" s="455">
        <v>0</v>
      </c>
      <c r="U304" s="455">
        <v>0</v>
      </c>
      <c r="V304" s="455"/>
      <c r="W304" s="455">
        <v>0</v>
      </c>
      <c r="X304" s="455">
        <v>0</v>
      </c>
      <c r="Y304" s="457"/>
      <c r="Z304" s="455">
        <v>2</v>
      </c>
      <c r="AA304" s="455">
        <v>2</v>
      </c>
      <c r="AB304" s="455" t="s">
        <v>2436</v>
      </c>
      <c r="AC304" s="455">
        <v>2</v>
      </c>
      <c r="AD304" s="455">
        <v>2</v>
      </c>
      <c r="AE304" s="455" t="s">
        <v>2437</v>
      </c>
      <c r="AF304" s="455">
        <v>2</v>
      </c>
      <c r="AG304" s="455">
        <v>2</v>
      </c>
      <c r="AH304" s="455" t="s">
        <v>2438</v>
      </c>
      <c r="AI304" s="455">
        <v>0</v>
      </c>
      <c r="AJ304" s="455"/>
      <c r="AK304" s="455"/>
      <c r="AL304" s="455">
        <v>0</v>
      </c>
      <c r="AM304" s="455"/>
      <c r="AN304" s="455"/>
      <c r="AO304" s="455">
        <v>0</v>
      </c>
      <c r="AP304" s="455"/>
      <c r="AQ304" s="455"/>
      <c r="AR304" s="455">
        <v>0</v>
      </c>
      <c r="AS304" s="455"/>
      <c r="AT304" s="455"/>
      <c r="AU304" s="455">
        <v>0</v>
      </c>
      <c r="AV304" s="455"/>
      <c r="AW304" s="455"/>
      <c r="AX304" s="455">
        <v>0</v>
      </c>
      <c r="AY304" s="453"/>
      <c r="AZ304" s="453"/>
      <c r="BA304" s="453">
        <f t="shared" si="12"/>
        <v>6</v>
      </c>
      <c r="BB304" s="453">
        <f t="shared" si="13"/>
        <v>6</v>
      </c>
      <c r="BC304" s="459">
        <f>+IF(BA304=0,+IF(BB304=0,"No programación, No avance",+IF(BB304&gt;0,+IF(BA304=0,BB304/P304))),BB304/BA304)</f>
        <v>1</v>
      </c>
    </row>
    <row r="305" spans="1:56" s="2" customFormat="1" ht="33.75" customHeight="1">
      <c r="A305" s="713"/>
      <c r="B305" s="748"/>
      <c r="C305" s="685" t="s">
        <v>347</v>
      </c>
      <c r="D305" s="685" t="s">
        <v>348</v>
      </c>
      <c r="E305" s="455" t="s">
        <v>2439</v>
      </c>
      <c r="F305" s="455" t="s">
        <v>472</v>
      </c>
      <c r="G305" s="455">
        <v>0.25</v>
      </c>
      <c r="H305" s="455" t="s">
        <v>2434</v>
      </c>
      <c r="I305" s="455" t="s">
        <v>73</v>
      </c>
      <c r="J305" s="455" t="s">
        <v>2440</v>
      </c>
      <c r="K305" s="455" t="s">
        <v>2440</v>
      </c>
      <c r="L305" s="455" t="s">
        <v>2414</v>
      </c>
      <c r="M305" s="456">
        <v>44197</v>
      </c>
      <c r="N305" s="456">
        <v>44561</v>
      </c>
      <c r="O305" s="455">
        <f>+R305+U305+X305+AA305+AD305+AG305+AJ305+AM305+AP305+AS305+AV305+AY305</f>
        <v>1</v>
      </c>
      <c r="P305" s="455">
        <v>1</v>
      </c>
      <c r="Q305" s="455">
        <v>0</v>
      </c>
      <c r="R305" s="455">
        <v>0</v>
      </c>
      <c r="S305" s="455"/>
      <c r="T305" s="455">
        <v>0</v>
      </c>
      <c r="U305" s="455">
        <v>0</v>
      </c>
      <c r="V305" s="455"/>
      <c r="W305" s="455">
        <v>0</v>
      </c>
      <c r="X305" s="455">
        <v>0</v>
      </c>
      <c r="Y305" s="457"/>
      <c r="Z305" s="455">
        <v>0</v>
      </c>
      <c r="AA305" s="455">
        <v>0</v>
      </c>
      <c r="AB305" s="455" t="s">
        <v>2441</v>
      </c>
      <c r="AC305" s="455">
        <v>1</v>
      </c>
      <c r="AD305" s="455">
        <v>1</v>
      </c>
      <c r="AE305" s="455" t="s">
        <v>2869</v>
      </c>
      <c r="AF305" s="455">
        <v>0</v>
      </c>
      <c r="AG305" s="455">
        <v>0</v>
      </c>
      <c r="AH305" s="455" t="s">
        <v>2442</v>
      </c>
      <c r="AI305" s="455">
        <v>0</v>
      </c>
      <c r="AJ305" s="455"/>
      <c r="AK305" s="455"/>
      <c r="AL305" s="455">
        <v>0</v>
      </c>
      <c r="AM305" s="455"/>
      <c r="AN305" s="455"/>
      <c r="AO305" s="455">
        <v>0</v>
      </c>
      <c r="AP305" s="455"/>
      <c r="AQ305" s="455"/>
      <c r="AR305" s="455">
        <v>0</v>
      </c>
      <c r="AS305" s="455"/>
      <c r="AT305" s="455"/>
      <c r="AU305" s="455">
        <v>0</v>
      </c>
      <c r="AV305" s="455"/>
      <c r="AW305" s="455"/>
      <c r="AX305" s="455">
        <v>0</v>
      </c>
      <c r="AY305" s="453"/>
      <c r="AZ305" s="453"/>
      <c r="BA305" s="453">
        <f t="shared" si="12"/>
        <v>1</v>
      </c>
      <c r="BB305" s="453">
        <f t="shared" si="13"/>
        <v>1</v>
      </c>
      <c r="BC305" s="459">
        <f>+IF(BA305=0,+IF(BB305=0,"No programación, No avance",+IF(BB305&gt;0,+IF(BA305=0,BB305/P305))),BB305/BA305)</f>
        <v>1</v>
      </c>
    </row>
    <row r="306" spans="1:56" s="2" customFormat="1" ht="33.75" customHeight="1">
      <c r="A306" s="713"/>
      <c r="B306" s="748"/>
      <c r="C306" s="685"/>
      <c r="D306" s="685"/>
      <c r="E306" s="455" t="s">
        <v>2443</v>
      </c>
      <c r="F306" s="455" t="s">
        <v>472</v>
      </c>
      <c r="G306" s="455">
        <v>0.25</v>
      </c>
      <c r="H306" s="455" t="s">
        <v>2434</v>
      </c>
      <c r="I306" s="455" t="s">
        <v>73</v>
      </c>
      <c r="J306" s="455" t="s">
        <v>2440</v>
      </c>
      <c r="K306" s="455" t="s">
        <v>2440</v>
      </c>
      <c r="L306" s="455" t="s">
        <v>2414</v>
      </c>
      <c r="M306" s="456">
        <v>44197</v>
      </c>
      <c r="N306" s="456">
        <v>44561</v>
      </c>
      <c r="O306" s="455">
        <f>+R306+U306+X306+AA306+AD306+AG306+AJ306+AM306+AP306+AS306+AV306+AY306</f>
        <v>1</v>
      </c>
      <c r="P306" s="455">
        <v>1</v>
      </c>
      <c r="Q306" s="455">
        <v>0</v>
      </c>
      <c r="R306" s="455">
        <v>0</v>
      </c>
      <c r="S306" s="455"/>
      <c r="T306" s="455">
        <v>0</v>
      </c>
      <c r="U306" s="455">
        <v>0</v>
      </c>
      <c r="V306" s="455"/>
      <c r="W306" s="455">
        <v>0</v>
      </c>
      <c r="X306" s="455">
        <v>0</v>
      </c>
      <c r="Y306" s="457"/>
      <c r="Z306" s="455">
        <v>0</v>
      </c>
      <c r="AA306" s="455">
        <v>0</v>
      </c>
      <c r="AB306" s="455" t="s">
        <v>2441</v>
      </c>
      <c r="AC306" s="455">
        <v>1</v>
      </c>
      <c r="AD306" s="455">
        <v>1</v>
      </c>
      <c r="AE306" s="455" t="s">
        <v>2870</v>
      </c>
      <c r="AF306" s="455">
        <v>0</v>
      </c>
      <c r="AG306" s="455">
        <v>0</v>
      </c>
      <c r="AH306" s="455" t="s">
        <v>2442</v>
      </c>
      <c r="AI306" s="455">
        <v>0</v>
      </c>
      <c r="AJ306" s="455"/>
      <c r="AK306" s="455"/>
      <c r="AL306" s="455">
        <v>0</v>
      </c>
      <c r="AM306" s="455"/>
      <c r="AN306" s="455"/>
      <c r="AO306" s="455">
        <v>0</v>
      </c>
      <c r="AP306" s="455"/>
      <c r="AQ306" s="455"/>
      <c r="AR306" s="455">
        <v>0</v>
      </c>
      <c r="AS306" s="455"/>
      <c r="AT306" s="455"/>
      <c r="AU306" s="455">
        <v>0</v>
      </c>
      <c r="AV306" s="455"/>
      <c r="AW306" s="455"/>
      <c r="AX306" s="455">
        <v>0</v>
      </c>
      <c r="AY306" s="453"/>
      <c r="AZ306" s="453"/>
      <c r="BA306" s="453">
        <f t="shared" si="12"/>
        <v>1</v>
      </c>
      <c r="BB306" s="453">
        <f t="shared" si="13"/>
        <v>1</v>
      </c>
      <c r="BC306" s="459">
        <f>+IF(BA306=0,+IF(BB306=0,"No programación, No avance",+IF(BB306&gt;0,+IF(BA306=0,BB306/P306))),BB306/BA306)</f>
        <v>1</v>
      </c>
    </row>
    <row r="307" spans="1:56" s="2" customFormat="1" ht="33.75" customHeight="1">
      <c r="A307" s="713"/>
      <c r="B307" s="748"/>
      <c r="C307" s="685"/>
      <c r="D307" s="685"/>
      <c r="E307" s="455" t="s">
        <v>2444</v>
      </c>
      <c r="F307" s="455" t="s">
        <v>472</v>
      </c>
      <c r="G307" s="455">
        <v>0.25</v>
      </c>
      <c r="H307" s="455" t="s">
        <v>2434</v>
      </c>
      <c r="I307" s="455" t="s">
        <v>73</v>
      </c>
      <c r="J307" s="455" t="s">
        <v>2440</v>
      </c>
      <c r="K307" s="455" t="s">
        <v>2440</v>
      </c>
      <c r="L307" s="455" t="s">
        <v>2414</v>
      </c>
      <c r="M307" s="456">
        <v>44197</v>
      </c>
      <c r="N307" s="456">
        <v>44561</v>
      </c>
      <c r="O307" s="455">
        <f>+R307+U307+X307+AA307+AD307+AG307+AJ307+AM307+AP307+AS307+AV307+AY307</f>
        <v>0</v>
      </c>
      <c r="P307" s="455">
        <v>1</v>
      </c>
      <c r="Q307" s="455">
        <v>0</v>
      </c>
      <c r="R307" s="455">
        <v>0</v>
      </c>
      <c r="S307" s="455"/>
      <c r="T307" s="455">
        <v>0</v>
      </c>
      <c r="U307" s="455">
        <v>0</v>
      </c>
      <c r="V307" s="455"/>
      <c r="W307" s="455">
        <v>0</v>
      </c>
      <c r="X307" s="455">
        <v>0</v>
      </c>
      <c r="Y307" s="457"/>
      <c r="Z307" s="455">
        <v>0</v>
      </c>
      <c r="AA307" s="455">
        <v>0</v>
      </c>
      <c r="AB307" s="455"/>
      <c r="AC307" s="455">
        <v>0</v>
      </c>
      <c r="AD307" s="455">
        <v>0</v>
      </c>
      <c r="AE307" s="455" t="s">
        <v>2445</v>
      </c>
      <c r="AF307" s="455">
        <v>0</v>
      </c>
      <c r="AG307" s="455">
        <v>0</v>
      </c>
      <c r="AH307" s="455" t="s">
        <v>2445</v>
      </c>
      <c r="AI307" s="455">
        <v>1</v>
      </c>
      <c r="AJ307" s="455"/>
      <c r="AK307" s="455"/>
      <c r="AL307" s="455">
        <v>0</v>
      </c>
      <c r="AM307" s="455"/>
      <c r="AN307" s="455"/>
      <c r="AO307" s="455">
        <v>0</v>
      </c>
      <c r="AP307" s="455"/>
      <c r="AQ307" s="455"/>
      <c r="AR307" s="455">
        <v>0</v>
      </c>
      <c r="AS307" s="455"/>
      <c r="AT307" s="455"/>
      <c r="AU307" s="455">
        <v>0</v>
      </c>
      <c r="AV307" s="455"/>
      <c r="AW307" s="455"/>
      <c r="AX307" s="455">
        <v>0</v>
      </c>
      <c r="AY307" s="453"/>
      <c r="AZ307" s="453"/>
      <c r="BA307" s="453">
        <f t="shared" si="12"/>
        <v>0</v>
      </c>
      <c r="BB307" s="453">
        <f t="shared" si="13"/>
        <v>0</v>
      </c>
      <c r="BC307" s="459" t="str">
        <f>+IF(BA307=0,+IF(BB307=0,"No programación, No avance",+IF(BB307&gt;0,+IF(BA307=0,BB307/P307))),BB307/BA307)</f>
        <v>No programación, No avance</v>
      </c>
    </row>
    <row r="308" spans="1:56" s="2" customFormat="1" ht="33.75" customHeight="1">
      <c r="A308" s="713"/>
      <c r="B308" s="748"/>
      <c r="C308" s="685"/>
      <c r="D308" s="685"/>
      <c r="E308" s="455" t="s">
        <v>2446</v>
      </c>
      <c r="F308" s="455" t="s">
        <v>472</v>
      </c>
      <c r="G308" s="455">
        <v>0.25</v>
      </c>
      <c r="H308" s="455" t="s">
        <v>2434</v>
      </c>
      <c r="I308" s="455" t="s">
        <v>73</v>
      </c>
      <c r="J308" s="455" t="s">
        <v>2440</v>
      </c>
      <c r="K308" s="455" t="s">
        <v>2440</v>
      </c>
      <c r="L308" s="455" t="s">
        <v>2414</v>
      </c>
      <c r="M308" s="456">
        <v>44197</v>
      </c>
      <c r="N308" s="456">
        <v>44561</v>
      </c>
      <c r="O308" s="455">
        <f>+R308+U308+X308+AA308+AD308+AG308+AJ308+AM308+AP308+AS308+AV308+AY308</f>
        <v>0</v>
      </c>
      <c r="P308" s="455">
        <v>1</v>
      </c>
      <c r="Q308" s="455">
        <v>0</v>
      </c>
      <c r="R308" s="455">
        <v>0</v>
      </c>
      <c r="S308" s="455"/>
      <c r="T308" s="455">
        <v>0</v>
      </c>
      <c r="U308" s="455">
        <v>0</v>
      </c>
      <c r="V308" s="455"/>
      <c r="W308" s="455">
        <v>0</v>
      </c>
      <c r="X308" s="455">
        <v>0</v>
      </c>
      <c r="Y308" s="457"/>
      <c r="Z308" s="455">
        <v>0</v>
      </c>
      <c r="AA308" s="455">
        <v>0</v>
      </c>
      <c r="AB308" s="455"/>
      <c r="AC308" s="455">
        <v>0</v>
      </c>
      <c r="AD308" s="455">
        <v>0</v>
      </c>
      <c r="AE308" s="455" t="s">
        <v>2445</v>
      </c>
      <c r="AF308" s="455">
        <v>0</v>
      </c>
      <c r="AG308" s="455">
        <v>0</v>
      </c>
      <c r="AH308" s="455" t="s">
        <v>2445</v>
      </c>
      <c r="AI308" s="455">
        <v>0</v>
      </c>
      <c r="AJ308" s="455"/>
      <c r="AK308" s="455"/>
      <c r="AL308" s="455">
        <v>0</v>
      </c>
      <c r="AM308" s="455"/>
      <c r="AN308" s="455"/>
      <c r="AO308" s="455">
        <v>0</v>
      </c>
      <c r="AP308" s="455"/>
      <c r="AQ308" s="455"/>
      <c r="AR308" s="455">
        <v>1</v>
      </c>
      <c r="AS308" s="455"/>
      <c r="AT308" s="455"/>
      <c r="AU308" s="455">
        <v>0</v>
      </c>
      <c r="AV308" s="455"/>
      <c r="AW308" s="455"/>
      <c r="AX308" s="455">
        <v>0</v>
      </c>
      <c r="AY308" s="453"/>
      <c r="AZ308" s="453"/>
      <c r="BA308" s="453">
        <f t="shared" si="12"/>
        <v>0</v>
      </c>
      <c r="BB308" s="453">
        <f t="shared" si="13"/>
        <v>0</v>
      </c>
      <c r="BC308" s="459" t="str">
        <f>+IF(BA308=0,+IF(BB308=0,"No programación, No avance",+IF(BB308&gt;0,+IF(BA308=0,BB308/P308))),BB308/BA308)</f>
        <v>No programación, No avance</v>
      </c>
    </row>
    <row r="309" spans="1:56" s="2" customFormat="1" ht="80.25" customHeight="1">
      <c r="A309" s="713"/>
      <c r="B309" s="748"/>
      <c r="C309" s="455" t="s">
        <v>349</v>
      </c>
      <c r="D309" s="455" t="s">
        <v>350</v>
      </c>
      <c r="E309" s="455" t="s">
        <v>2447</v>
      </c>
      <c r="F309" s="455" t="s">
        <v>472</v>
      </c>
      <c r="G309" s="455">
        <v>1</v>
      </c>
      <c r="H309" s="455" t="s">
        <v>2434</v>
      </c>
      <c r="I309" s="455" t="s">
        <v>73</v>
      </c>
      <c r="J309" s="455" t="s">
        <v>2448</v>
      </c>
      <c r="K309" s="455" t="s">
        <v>2449</v>
      </c>
      <c r="L309" s="455" t="s">
        <v>2414</v>
      </c>
      <c r="M309" s="456">
        <v>44197</v>
      </c>
      <c r="N309" s="456">
        <v>44561</v>
      </c>
      <c r="O309" s="455">
        <f>+R309+U309+X309+AA309+AD309+AG309+AJ309+AM309+AP309+AS309+AV309+AY309</f>
        <v>0</v>
      </c>
      <c r="P309" s="455">
        <v>3</v>
      </c>
      <c r="Q309" s="455">
        <v>0</v>
      </c>
      <c r="R309" s="455">
        <v>0</v>
      </c>
      <c r="S309" s="455"/>
      <c r="T309" s="455">
        <v>0</v>
      </c>
      <c r="U309" s="455">
        <v>0</v>
      </c>
      <c r="V309" s="455"/>
      <c r="W309" s="455">
        <v>0</v>
      </c>
      <c r="X309" s="455">
        <v>0</v>
      </c>
      <c r="Y309" s="457"/>
      <c r="Z309" s="455">
        <v>0</v>
      </c>
      <c r="AA309" s="455">
        <v>0</v>
      </c>
      <c r="AB309" s="455"/>
      <c r="AC309" s="455">
        <v>0</v>
      </c>
      <c r="AD309" s="455">
        <v>0</v>
      </c>
      <c r="AE309" s="455"/>
      <c r="AF309" s="455">
        <v>0</v>
      </c>
      <c r="AG309" s="455">
        <v>0</v>
      </c>
      <c r="AH309" s="455" t="s">
        <v>2450</v>
      </c>
      <c r="AI309" s="455">
        <v>1</v>
      </c>
      <c r="AJ309" s="455"/>
      <c r="AK309" s="455"/>
      <c r="AL309" s="455">
        <v>0</v>
      </c>
      <c r="AM309" s="455"/>
      <c r="AN309" s="455"/>
      <c r="AO309" s="455">
        <v>0</v>
      </c>
      <c r="AP309" s="455"/>
      <c r="AQ309" s="455"/>
      <c r="AR309" s="455">
        <v>1</v>
      </c>
      <c r="AS309" s="455"/>
      <c r="AT309" s="455"/>
      <c r="AU309" s="455">
        <v>0</v>
      </c>
      <c r="AV309" s="455"/>
      <c r="AW309" s="455"/>
      <c r="AX309" s="455">
        <v>1</v>
      </c>
      <c r="AY309" s="453"/>
      <c r="AZ309" s="453"/>
      <c r="BA309" s="453">
        <f t="shared" si="12"/>
        <v>0</v>
      </c>
      <c r="BB309" s="453">
        <f t="shared" si="13"/>
        <v>0</v>
      </c>
      <c r="BC309" s="459" t="str">
        <f>+IF(BA309=0,+IF(BB309=0,"No programación, No avance",+IF(BB309&gt;0,+IF(BA309=0,BB309/P309))),BB309/BA309)</f>
        <v>No programación, No avance</v>
      </c>
    </row>
    <row r="310" spans="1:56" s="2" customFormat="1" ht="56.25" customHeight="1">
      <c r="A310" s="713"/>
      <c r="B310" s="748"/>
      <c r="C310" s="685" t="s">
        <v>351</v>
      </c>
      <c r="D310" s="685" t="s">
        <v>352</v>
      </c>
      <c r="E310" s="455" t="s">
        <v>2451</v>
      </c>
      <c r="F310" s="455" t="s">
        <v>472</v>
      </c>
      <c r="G310" s="455">
        <v>0.45</v>
      </c>
      <c r="H310" s="455" t="s">
        <v>2452</v>
      </c>
      <c r="I310" s="455" t="s">
        <v>79</v>
      </c>
      <c r="J310" s="455" t="s">
        <v>2453</v>
      </c>
      <c r="K310" s="455" t="s">
        <v>2453</v>
      </c>
      <c r="L310" s="455" t="s">
        <v>2414</v>
      </c>
      <c r="M310" s="456">
        <v>44197</v>
      </c>
      <c r="N310" s="456">
        <v>44561</v>
      </c>
      <c r="O310" s="455">
        <f>+R310+U310+X310+AA310+AD310+AG310+AJ310+AM310+AP310+AS310+AV310+AY310</f>
        <v>1</v>
      </c>
      <c r="P310" s="455">
        <v>1</v>
      </c>
      <c r="Q310" s="455">
        <v>0</v>
      </c>
      <c r="R310" s="455">
        <v>0</v>
      </c>
      <c r="S310" s="455"/>
      <c r="T310" s="455">
        <v>0</v>
      </c>
      <c r="U310" s="466">
        <v>0</v>
      </c>
      <c r="V310" s="455"/>
      <c r="W310" s="455">
        <v>1</v>
      </c>
      <c r="X310" s="466">
        <v>1</v>
      </c>
      <c r="Y310" s="457" t="s">
        <v>2454</v>
      </c>
      <c r="Z310" s="455">
        <v>0</v>
      </c>
      <c r="AA310" s="466">
        <v>0</v>
      </c>
      <c r="AB310" s="457" t="s">
        <v>2471</v>
      </c>
      <c r="AC310" s="455">
        <v>0</v>
      </c>
      <c r="AD310" s="482">
        <v>0</v>
      </c>
      <c r="AE310" s="457" t="s">
        <v>2455</v>
      </c>
      <c r="AF310" s="455">
        <v>0</v>
      </c>
      <c r="AG310" s="455">
        <v>0</v>
      </c>
      <c r="AH310" s="457" t="s">
        <v>2455</v>
      </c>
      <c r="AI310" s="455">
        <v>0</v>
      </c>
      <c r="AJ310" s="455"/>
      <c r="AK310" s="455"/>
      <c r="AL310" s="455">
        <v>0</v>
      </c>
      <c r="AM310" s="455"/>
      <c r="AN310" s="455"/>
      <c r="AO310" s="455">
        <v>0</v>
      </c>
      <c r="AP310" s="455"/>
      <c r="AQ310" s="455"/>
      <c r="AR310" s="455">
        <v>0</v>
      </c>
      <c r="AS310" s="455"/>
      <c r="AT310" s="455"/>
      <c r="AU310" s="455">
        <v>0</v>
      </c>
      <c r="AV310" s="455"/>
      <c r="AW310" s="455"/>
      <c r="AX310" s="455">
        <v>0</v>
      </c>
      <c r="AY310" s="453"/>
      <c r="AZ310" s="453"/>
      <c r="BA310" s="453">
        <f t="shared" si="12"/>
        <v>1</v>
      </c>
      <c r="BB310" s="453">
        <f t="shared" si="13"/>
        <v>1</v>
      </c>
      <c r="BC310" s="459">
        <f>+IF(BA310=0,+IF(BB310=0,"No programación, No avance",+IF(BB310&gt;0,+IF(BA310=0,BB310/P310))),BB310/BA310)</f>
        <v>1</v>
      </c>
    </row>
    <row r="311" spans="1:56" s="2" customFormat="1" ht="56.25" customHeight="1">
      <c r="A311" s="713"/>
      <c r="B311" s="748"/>
      <c r="C311" s="685"/>
      <c r="D311" s="685"/>
      <c r="E311" s="455" t="s">
        <v>2456</v>
      </c>
      <c r="F311" s="455" t="s">
        <v>472</v>
      </c>
      <c r="G311" s="455">
        <v>0.45</v>
      </c>
      <c r="H311" s="455" t="s">
        <v>2452</v>
      </c>
      <c r="I311" s="455" t="s">
        <v>79</v>
      </c>
      <c r="J311" s="455" t="s">
        <v>2457</v>
      </c>
      <c r="K311" s="455" t="s">
        <v>2457</v>
      </c>
      <c r="L311" s="455" t="s">
        <v>2414</v>
      </c>
      <c r="M311" s="456">
        <v>44197</v>
      </c>
      <c r="N311" s="456">
        <v>44561</v>
      </c>
      <c r="O311" s="455">
        <f>+R311+U311+X311+AA311+AD311+AG311+AJ311+AM311+AP311+AS311+AV311+AY311</f>
        <v>1</v>
      </c>
      <c r="P311" s="455">
        <v>1</v>
      </c>
      <c r="Q311" s="455">
        <v>0</v>
      </c>
      <c r="R311" s="455">
        <v>0</v>
      </c>
      <c r="S311" s="455"/>
      <c r="T311" s="455">
        <v>0</v>
      </c>
      <c r="U311" s="466">
        <v>0</v>
      </c>
      <c r="V311" s="455"/>
      <c r="W311" s="455">
        <v>1</v>
      </c>
      <c r="X311" s="466">
        <v>1</v>
      </c>
      <c r="Y311" s="457" t="s">
        <v>2458</v>
      </c>
      <c r="Z311" s="455">
        <v>0</v>
      </c>
      <c r="AA311" s="466">
        <v>0</v>
      </c>
      <c r="AB311" s="457" t="s">
        <v>2471</v>
      </c>
      <c r="AC311" s="455">
        <v>0</v>
      </c>
      <c r="AD311" s="482">
        <v>0</v>
      </c>
      <c r="AE311" s="457" t="s">
        <v>2455</v>
      </c>
      <c r="AF311" s="455">
        <v>0</v>
      </c>
      <c r="AG311" s="455">
        <v>0</v>
      </c>
      <c r="AH311" s="457" t="s">
        <v>2455</v>
      </c>
      <c r="AI311" s="455">
        <v>0</v>
      </c>
      <c r="AJ311" s="455"/>
      <c r="AK311" s="455"/>
      <c r="AL311" s="455">
        <v>0</v>
      </c>
      <c r="AM311" s="455"/>
      <c r="AN311" s="455"/>
      <c r="AO311" s="455">
        <v>0</v>
      </c>
      <c r="AP311" s="455"/>
      <c r="AQ311" s="455"/>
      <c r="AR311" s="455">
        <v>0</v>
      </c>
      <c r="AS311" s="455"/>
      <c r="AT311" s="455"/>
      <c r="AU311" s="455">
        <v>0</v>
      </c>
      <c r="AV311" s="455"/>
      <c r="AW311" s="455"/>
      <c r="AX311" s="455">
        <v>0</v>
      </c>
      <c r="AY311" s="453"/>
      <c r="AZ311" s="453"/>
      <c r="BA311" s="453">
        <f t="shared" si="12"/>
        <v>1</v>
      </c>
      <c r="BB311" s="453">
        <f t="shared" si="13"/>
        <v>1</v>
      </c>
      <c r="BC311" s="459">
        <f>+IF(BA311=0,+IF(BB311=0,"No programación, No avance",+IF(BB311&gt;0,+IF(BA311=0,BB311/P311))),BB311/BA311)</f>
        <v>1</v>
      </c>
    </row>
    <row r="312" spans="1:56" s="2" customFormat="1" ht="56.25" customHeight="1">
      <c r="A312" s="713"/>
      <c r="B312" s="748"/>
      <c r="C312" s="685"/>
      <c r="D312" s="685"/>
      <c r="E312" s="455" t="s">
        <v>2459</v>
      </c>
      <c r="F312" s="455" t="s">
        <v>472</v>
      </c>
      <c r="G312" s="455">
        <v>0.1</v>
      </c>
      <c r="H312" s="455" t="s">
        <v>2452</v>
      </c>
      <c r="I312" s="455" t="s">
        <v>79</v>
      </c>
      <c r="J312" s="455" t="s">
        <v>2460</v>
      </c>
      <c r="K312" s="455" t="s">
        <v>2461</v>
      </c>
      <c r="L312" s="455" t="s">
        <v>2414</v>
      </c>
      <c r="M312" s="456">
        <v>44197</v>
      </c>
      <c r="N312" s="456">
        <v>44561</v>
      </c>
      <c r="O312" s="455">
        <f>+R312+U312+X312+AA312+AD312+AG312+AJ312+AM312+AP312+AS312+AV312+AY312</f>
        <v>0.85799999999999998</v>
      </c>
      <c r="P312" s="455">
        <v>0.83199999999999996</v>
      </c>
      <c r="Q312" s="455">
        <v>0</v>
      </c>
      <c r="R312" s="455">
        <v>0</v>
      </c>
      <c r="S312" s="455"/>
      <c r="T312" s="455">
        <v>0</v>
      </c>
      <c r="U312" s="455">
        <v>0</v>
      </c>
      <c r="V312" s="455"/>
      <c r="W312" s="455">
        <v>0</v>
      </c>
      <c r="X312" s="455">
        <v>0</v>
      </c>
      <c r="Y312" s="457"/>
      <c r="Z312" s="455">
        <v>0</v>
      </c>
      <c r="AA312" s="455">
        <v>0</v>
      </c>
      <c r="AB312" s="455"/>
      <c r="AC312" s="480">
        <v>0.83199999999999996</v>
      </c>
      <c r="AD312" s="480">
        <v>0.85799999999999998</v>
      </c>
      <c r="AE312" s="455" t="s">
        <v>2871</v>
      </c>
      <c r="AF312" s="455">
        <v>0</v>
      </c>
      <c r="AG312" s="455">
        <v>0</v>
      </c>
      <c r="AH312" s="457" t="s">
        <v>2462</v>
      </c>
      <c r="AI312" s="455">
        <v>0</v>
      </c>
      <c r="AJ312" s="455"/>
      <c r="AK312" s="455"/>
      <c r="AL312" s="455">
        <v>0</v>
      </c>
      <c r="AM312" s="455"/>
      <c r="AN312" s="455"/>
      <c r="AO312" s="455">
        <v>0</v>
      </c>
      <c r="AP312" s="455"/>
      <c r="AQ312" s="455"/>
      <c r="AR312" s="455">
        <v>0</v>
      </c>
      <c r="AS312" s="455"/>
      <c r="AT312" s="455"/>
      <c r="AU312" s="455">
        <v>0</v>
      </c>
      <c r="AV312" s="455"/>
      <c r="AW312" s="455"/>
      <c r="AX312" s="455">
        <v>0</v>
      </c>
      <c r="AY312" s="453"/>
      <c r="AZ312" s="453"/>
      <c r="BA312" s="453">
        <f t="shared" si="12"/>
        <v>0.83199999999999996</v>
      </c>
      <c r="BB312" s="453">
        <f t="shared" si="13"/>
        <v>0.85799999999999998</v>
      </c>
      <c r="BC312" s="459">
        <f>+IF(BA312=0,+IF(BB312=0,"No programación, No avance",+IF(BB312&gt;0,+IF(BA312=0,BB312/P312))),BB312/BA312)</f>
        <v>1.03125</v>
      </c>
    </row>
    <row r="313" spans="1:56" s="2" customFormat="1" ht="67.5" customHeight="1">
      <c r="A313" s="713"/>
      <c r="B313" s="748"/>
      <c r="C313" s="455" t="s">
        <v>353</v>
      </c>
      <c r="D313" s="455" t="s">
        <v>354</v>
      </c>
      <c r="E313" s="455" t="s">
        <v>2463</v>
      </c>
      <c r="F313" s="455" t="s">
        <v>472</v>
      </c>
      <c r="G313" s="455">
        <v>1</v>
      </c>
      <c r="H313" s="455" t="s">
        <v>355</v>
      </c>
      <c r="I313" s="455" t="s">
        <v>73</v>
      </c>
      <c r="J313" s="455" t="s">
        <v>2464</v>
      </c>
      <c r="K313" s="455" t="s">
        <v>2464</v>
      </c>
      <c r="L313" s="455" t="s">
        <v>2414</v>
      </c>
      <c r="M313" s="456">
        <v>44197</v>
      </c>
      <c r="N313" s="456">
        <v>44561</v>
      </c>
      <c r="O313" s="455">
        <f>+R313+U313+X313+AA313+AD313+AG313+AJ313+AM313+AP313+AS313+AV313+AY313</f>
        <v>2</v>
      </c>
      <c r="P313" s="455">
        <v>4</v>
      </c>
      <c r="Q313" s="455">
        <v>0</v>
      </c>
      <c r="R313" s="457">
        <v>0</v>
      </c>
      <c r="S313" s="457"/>
      <c r="T313" s="455">
        <v>1</v>
      </c>
      <c r="U313" s="455">
        <v>1</v>
      </c>
      <c r="V313" s="455"/>
      <c r="W313" s="455">
        <v>0</v>
      </c>
      <c r="X313" s="455">
        <v>0</v>
      </c>
      <c r="Y313" s="457"/>
      <c r="Z313" s="455">
        <v>1</v>
      </c>
      <c r="AA313" s="455">
        <v>1</v>
      </c>
      <c r="AB313" s="457" t="s">
        <v>2465</v>
      </c>
      <c r="AC313" s="455">
        <v>0</v>
      </c>
      <c r="AD313" s="455">
        <v>0</v>
      </c>
      <c r="AE313" s="457" t="s">
        <v>2466</v>
      </c>
      <c r="AF313" s="457">
        <v>0</v>
      </c>
      <c r="AG313" s="455">
        <v>0</v>
      </c>
      <c r="AH313" s="455" t="s">
        <v>2467</v>
      </c>
      <c r="AI313" s="455">
        <v>1</v>
      </c>
      <c r="AJ313" s="455"/>
      <c r="AK313" s="455"/>
      <c r="AL313" s="455">
        <v>0</v>
      </c>
      <c r="AM313" s="455"/>
      <c r="AN313" s="455"/>
      <c r="AO313" s="455">
        <v>0</v>
      </c>
      <c r="AP313" s="455"/>
      <c r="AQ313" s="455"/>
      <c r="AR313" s="455">
        <v>1</v>
      </c>
      <c r="AS313" s="455"/>
      <c r="AT313" s="455"/>
      <c r="AU313" s="455">
        <v>0</v>
      </c>
      <c r="AV313" s="455"/>
      <c r="AW313" s="455"/>
      <c r="AX313" s="455">
        <v>0</v>
      </c>
      <c r="AY313" s="453"/>
      <c r="AZ313" s="453"/>
      <c r="BA313" s="453">
        <f t="shared" si="12"/>
        <v>2</v>
      </c>
      <c r="BB313" s="453">
        <f t="shared" si="13"/>
        <v>2</v>
      </c>
      <c r="BC313" s="459">
        <f>+IF(BA313=0,+IF(BB313=0,"No programación, No avance",+IF(BB313&gt;0,+IF(BA313=0,BB313/P313))),BB313/BA313)</f>
        <v>1</v>
      </c>
    </row>
    <row r="314" spans="1:56" s="2" customFormat="1" ht="51.75" customHeight="1">
      <c r="A314" s="713"/>
      <c r="B314" s="748"/>
      <c r="C314" s="685" t="s">
        <v>2468</v>
      </c>
      <c r="D314" s="685" t="s">
        <v>356</v>
      </c>
      <c r="E314" s="455" t="s">
        <v>2469</v>
      </c>
      <c r="F314" s="455" t="s">
        <v>472</v>
      </c>
      <c r="G314" s="455">
        <v>0.33</v>
      </c>
      <c r="H314" s="455" t="s">
        <v>355</v>
      </c>
      <c r="I314" s="455" t="s">
        <v>73</v>
      </c>
      <c r="J314" s="455" t="s">
        <v>2470</v>
      </c>
      <c r="K314" s="455" t="s">
        <v>2470</v>
      </c>
      <c r="L314" s="455" t="s">
        <v>2414</v>
      </c>
      <c r="M314" s="456">
        <v>44197</v>
      </c>
      <c r="N314" s="456">
        <v>44561</v>
      </c>
      <c r="O314" s="455">
        <f>+R314+U314+X314+AA314+AD314+AG314+AJ314+AM314+AP314+AS314+AV314+AY314</f>
        <v>1</v>
      </c>
      <c r="P314" s="455">
        <v>1</v>
      </c>
      <c r="Q314" s="455">
        <v>0</v>
      </c>
      <c r="R314" s="457">
        <v>0</v>
      </c>
      <c r="S314" s="457"/>
      <c r="T314" s="455">
        <v>0</v>
      </c>
      <c r="U314" s="455">
        <v>0</v>
      </c>
      <c r="V314" s="455"/>
      <c r="W314" s="455">
        <v>0</v>
      </c>
      <c r="X314" s="455">
        <v>0</v>
      </c>
      <c r="Y314" s="457"/>
      <c r="Z314" s="455">
        <v>1</v>
      </c>
      <c r="AA314" s="455">
        <v>1</v>
      </c>
      <c r="AB314" s="457" t="s">
        <v>2471</v>
      </c>
      <c r="AC314" s="455">
        <v>0</v>
      </c>
      <c r="AD314" s="455">
        <v>0</v>
      </c>
      <c r="AE314" s="457" t="s">
        <v>2471</v>
      </c>
      <c r="AF314" s="457">
        <v>0</v>
      </c>
      <c r="AG314" s="455">
        <v>0</v>
      </c>
      <c r="AH314" s="455" t="s">
        <v>1420</v>
      </c>
      <c r="AI314" s="455">
        <v>0</v>
      </c>
      <c r="AJ314" s="455"/>
      <c r="AK314" s="455"/>
      <c r="AL314" s="455">
        <v>0</v>
      </c>
      <c r="AM314" s="455"/>
      <c r="AN314" s="455"/>
      <c r="AO314" s="455">
        <v>0</v>
      </c>
      <c r="AP314" s="455"/>
      <c r="AQ314" s="455"/>
      <c r="AR314" s="455">
        <v>0</v>
      </c>
      <c r="AS314" s="455"/>
      <c r="AT314" s="455"/>
      <c r="AU314" s="455">
        <v>0</v>
      </c>
      <c r="AV314" s="455"/>
      <c r="AW314" s="455"/>
      <c r="AX314" s="455">
        <v>0</v>
      </c>
      <c r="AY314" s="453"/>
      <c r="AZ314" s="453"/>
      <c r="BA314" s="453">
        <f t="shared" si="12"/>
        <v>1</v>
      </c>
      <c r="BB314" s="453">
        <f t="shared" si="13"/>
        <v>1</v>
      </c>
      <c r="BC314" s="459">
        <f>+IF(BA314=0,+IF(BB314=0,"No programación, No avance",+IF(BB314&gt;0,+IF(BA314=0,BB314/P314))),BB314/BA314)</f>
        <v>1</v>
      </c>
    </row>
    <row r="315" spans="1:56" s="2" customFormat="1" ht="51.75" customHeight="1">
      <c r="A315" s="713"/>
      <c r="B315" s="748"/>
      <c r="C315" s="685"/>
      <c r="D315" s="685"/>
      <c r="E315" s="455" t="s">
        <v>2472</v>
      </c>
      <c r="F315" s="455" t="s">
        <v>472</v>
      </c>
      <c r="G315" s="455">
        <v>0.33</v>
      </c>
      <c r="H315" s="455" t="s">
        <v>355</v>
      </c>
      <c r="I315" s="455" t="s">
        <v>73</v>
      </c>
      <c r="J315" s="455" t="s">
        <v>2473</v>
      </c>
      <c r="K315" s="455" t="s">
        <v>2473</v>
      </c>
      <c r="L315" s="455" t="s">
        <v>2414</v>
      </c>
      <c r="M315" s="456">
        <v>44197</v>
      </c>
      <c r="N315" s="456">
        <v>44561</v>
      </c>
      <c r="O315" s="455">
        <f>+R315+U315+X315+AA315+AD315+AG315+AJ315+AM315+AP315+AS315+AV315+AY315</f>
        <v>1</v>
      </c>
      <c r="P315" s="455">
        <v>1</v>
      </c>
      <c r="Q315" s="455">
        <v>0</v>
      </c>
      <c r="R315" s="457">
        <v>0</v>
      </c>
      <c r="S315" s="457"/>
      <c r="T315" s="455">
        <v>0</v>
      </c>
      <c r="U315" s="455">
        <v>0</v>
      </c>
      <c r="V315" s="455"/>
      <c r="W315" s="455">
        <v>0</v>
      </c>
      <c r="X315" s="455">
        <v>0</v>
      </c>
      <c r="Y315" s="457"/>
      <c r="Z315" s="455">
        <v>0</v>
      </c>
      <c r="AA315" s="455">
        <v>1</v>
      </c>
      <c r="AB315" s="457" t="s">
        <v>2474</v>
      </c>
      <c r="AC315" s="455">
        <v>0</v>
      </c>
      <c r="AD315" s="455">
        <v>0</v>
      </c>
      <c r="AE315" s="457" t="s">
        <v>2471</v>
      </c>
      <c r="AF315" s="457">
        <v>0</v>
      </c>
      <c r="AG315" s="455">
        <v>0</v>
      </c>
      <c r="AH315" s="455" t="s">
        <v>1420</v>
      </c>
      <c r="AI315" s="455">
        <v>1</v>
      </c>
      <c r="AJ315" s="455"/>
      <c r="AK315" s="455"/>
      <c r="AL315" s="455">
        <v>0</v>
      </c>
      <c r="AM315" s="455"/>
      <c r="AN315" s="455"/>
      <c r="AO315" s="455">
        <v>0</v>
      </c>
      <c r="AP315" s="455"/>
      <c r="AQ315" s="455"/>
      <c r="AR315" s="455">
        <v>0</v>
      </c>
      <c r="AS315" s="455"/>
      <c r="AT315" s="455"/>
      <c r="AU315" s="455">
        <v>0</v>
      </c>
      <c r="AV315" s="455"/>
      <c r="AW315" s="455"/>
      <c r="AX315" s="455">
        <v>0</v>
      </c>
      <c r="AY315" s="453"/>
      <c r="AZ315" s="453"/>
      <c r="BA315" s="453">
        <f t="shared" si="12"/>
        <v>0</v>
      </c>
      <c r="BB315" s="453">
        <f t="shared" si="13"/>
        <v>1</v>
      </c>
      <c r="BC315" s="459">
        <f>+IF(BA315=0,+IF(BB315=0,"No programación, No avance",+IF(BB315&gt;0,+IF(BA315=0,BB315/P315))),BB315/BA315)</f>
        <v>1</v>
      </c>
    </row>
    <row r="316" spans="1:56" s="2" customFormat="1" ht="51.75" customHeight="1" thickBot="1">
      <c r="A316" s="704"/>
      <c r="B316" s="739"/>
      <c r="C316" s="699"/>
      <c r="D316" s="699"/>
      <c r="E316" s="483" t="s">
        <v>2475</v>
      </c>
      <c r="F316" s="483" t="s">
        <v>472</v>
      </c>
      <c r="G316" s="483">
        <v>0.34</v>
      </c>
      <c r="H316" s="483" t="s">
        <v>355</v>
      </c>
      <c r="I316" s="483" t="s">
        <v>73</v>
      </c>
      <c r="J316" s="483" t="s">
        <v>356</v>
      </c>
      <c r="K316" s="483" t="s">
        <v>356</v>
      </c>
      <c r="L316" s="483" t="s">
        <v>2414</v>
      </c>
      <c r="M316" s="484">
        <v>44197</v>
      </c>
      <c r="N316" s="484">
        <v>44561</v>
      </c>
      <c r="O316" s="483">
        <f>+R316+U316+X316+AA316+AD316+AG316+AJ316+AM316+AP316+AS316+AV316+AY316</f>
        <v>1</v>
      </c>
      <c r="P316" s="483">
        <v>1</v>
      </c>
      <c r="Q316" s="483">
        <v>0</v>
      </c>
      <c r="R316" s="483">
        <v>0</v>
      </c>
      <c r="S316" s="483"/>
      <c r="T316" s="483">
        <v>0</v>
      </c>
      <c r="U316" s="483">
        <v>0</v>
      </c>
      <c r="V316" s="483"/>
      <c r="W316" s="483">
        <v>0</v>
      </c>
      <c r="X316" s="483">
        <v>0</v>
      </c>
      <c r="Y316" s="490"/>
      <c r="Z316" s="483">
        <v>0</v>
      </c>
      <c r="AA316" s="483">
        <v>0</v>
      </c>
      <c r="AB316" s="483" t="s">
        <v>1822</v>
      </c>
      <c r="AC316" s="483">
        <v>0</v>
      </c>
      <c r="AD316" s="483">
        <v>1</v>
      </c>
      <c r="AE316" s="490" t="s">
        <v>2476</v>
      </c>
      <c r="AF316" s="490">
        <v>0</v>
      </c>
      <c r="AG316" s="483">
        <v>0</v>
      </c>
      <c r="AH316" s="483" t="s">
        <v>1420</v>
      </c>
      <c r="AI316" s="483">
        <v>0</v>
      </c>
      <c r="AJ316" s="483"/>
      <c r="AK316" s="483"/>
      <c r="AL316" s="483">
        <v>0</v>
      </c>
      <c r="AM316" s="483"/>
      <c r="AN316" s="483"/>
      <c r="AO316" s="483">
        <v>0</v>
      </c>
      <c r="AP316" s="483"/>
      <c r="AQ316" s="483"/>
      <c r="AR316" s="483">
        <v>0</v>
      </c>
      <c r="AS316" s="483"/>
      <c r="AT316" s="483"/>
      <c r="AU316" s="483">
        <v>0</v>
      </c>
      <c r="AV316" s="483"/>
      <c r="AW316" s="483"/>
      <c r="AX316" s="483">
        <v>1</v>
      </c>
      <c r="AY316" s="486"/>
      <c r="AZ316" s="486"/>
      <c r="BA316" s="453">
        <f t="shared" si="12"/>
        <v>0</v>
      </c>
      <c r="BB316" s="453">
        <f t="shared" si="13"/>
        <v>1</v>
      </c>
      <c r="BC316" s="495">
        <f>+IF(BA316=0,+IF(BB316=0,"No programación, No avance",+IF(BB316&gt;0,+IF(BA316=0,BB316/P316))),BB316/BA316)</f>
        <v>1</v>
      </c>
    </row>
    <row r="317" spans="1:56" s="2" customFormat="1" ht="60" customHeight="1">
      <c r="A317" s="700" t="s">
        <v>2477</v>
      </c>
      <c r="B317" s="714">
        <v>10</v>
      </c>
      <c r="C317" s="705" t="s">
        <v>250</v>
      </c>
      <c r="D317" s="705" t="s">
        <v>251</v>
      </c>
      <c r="E317" s="429" t="s">
        <v>2478</v>
      </c>
      <c r="F317" s="429" t="s">
        <v>472</v>
      </c>
      <c r="G317" s="429">
        <v>0.5</v>
      </c>
      <c r="H317" s="429" t="s">
        <v>2479</v>
      </c>
      <c r="I317" s="429" t="s">
        <v>79</v>
      </c>
      <c r="J317" s="429" t="s">
        <v>127</v>
      </c>
      <c r="K317" s="429" t="s">
        <v>127</v>
      </c>
      <c r="L317" s="429" t="s">
        <v>475</v>
      </c>
      <c r="M317" s="430">
        <v>44197</v>
      </c>
      <c r="N317" s="430">
        <v>44561</v>
      </c>
      <c r="O317" s="429">
        <f>+R317+U317+X317+AA317+AD317+AG317+AJ317+AM317+AP317+AS317+AV317+AY317</f>
        <v>0.2</v>
      </c>
      <c r="P317" s="429">
        <v>1</v>
      </c>
      <c r="Q317" s="429">
        <v>0</v>
      </c>
      <c r="R317" s="429">
        <v>0</v>
      </c>
      <c r="S317" s="429"/>
      <c r="T317" s="429">
        <v>0</v>
      </c>
      <c r="U317" s="529">
        <v>0</v>
      </c>
      <c r="V317" s="429"/>
      <c r="W317" s="429">
        <v>0</v>
      </c>
      <c r="X317" s="529">
        <v>0.1</v>
      </c>
      <c r="Y317" s="432" t="s">
        <v>2480</v>
      </c>
      <c r="Z317" s="429">
        <v>0</v>
      </c>
      <c r="AA317" s="529">
        <v>0.1</v>
      </c>
      <c r="AB317" s="432" t="s">
        <v>2481</v>
      </c>
      <c r="AC317" s="530">
        <v>0.2</v>
      </c>
      <c r="AD317" s="538">
        <v>0</v>
      </c>
      <c r="AE317" s="432" t="s">
        <v>2482</v>
      </c>
      <c r="AF317" s="429">
        <v>0</v>
      </c>
      <c r="AG317" s="530">
        <v>0</v>
      </c>
      <c r="AH317" s="429" t="s">
        <v>2483</v>
      </c>
      <c r="AI317" s="429">
        <v>0</v>
      </c>
      <c r="AJ317" s="429"/>
      <c r="AK317" s="429"/>
      <c r="AL317" s="429">
        <v>0</v>
      </c>
      <c r="AM317" s="429"/>
      <c r="AN317" s="429"/>
      <c r="AO317" s="429">
        <v>0</v>
      </c>
      <c r="AP317" s="429"/>
      <c r="AQ317" s="429"/>
      <c r="AR317" s="429">
        <v>0</v>
      </c>
      <c r="AS317" s="429"/>
      <c r="AT317" s="429"/>
      <c r="AU317" s="429">
        <v>0</v>
      </c>
      <c r="AV317" s="429"/>
      <c r="AW317" s="429"/>
      <c r="AX317" s="530">
        <v>0.8</v>
      </c>
      <c r="AY317" s="431"/>
      <c r="AZ317" s="431"/>
      <c r="BA317" s="435">
        <f t="shared" si="12"/>
        <v>0.2</v>
      </c>
      <c r="BB317" s="435">
        <f t="shared" si="13"/>
        <v>0.2</v>
      </c>
      <c r="BC317" s="497">
        <f>+IF(BA317=0,+IF(BB317=0,"No programación, No avance",+IF(BB317&gt;0,+IF(BA317=0,BB317/P317))),BB317/BA317)</f>
        <v>1</v>
      </c>
      <c r="BD317" s="2">
        <f>+AVERAGE(BC317:BC318)</f>
        <v>0.85</v>
      </c>
    </row>
    <row r="318" spans="1:56" s="2" customFormat="1" ht="108.75" thickBot="1">
      <c r="A318" s="702"/>
      <c r="B318" s="716"/>
      <c r="C318" s="707"/>
      <c r="D318" s="707"/>
      <c r="E318" s="440" t="s">
        <v>2484</v>
      </c>
      <c r="F318" s="440" t="s">
        <v>472</v>
      </c>
      <c r="G318" s="440">
        <v>0.5</v>
      </c>
      <c r="H318" s="440" t="s">
        <v>2479</v>
      </c>
      <c r="I318" s="440" t="s">
        <v>79</v>
      </c>
      <c r="J318" s="440" t="s">
        <v>1811</v>
      </c>
      <c r="K318" s="440" t="s">
        <v>127</v>
      </c>
      <c r="L318" s="440" t="s">
        <v>475</v>
      </c>
      <c r="M318" s="441">
        <v>44197</v>
      </c>
      <c r="N318" s="441">
        <v>44561</v>
      </c>
      <c r="O318" s="440">
        <f>+R318+U318+X318+AA318+AD318+AG318+AJ318+AM318+AP318+AS318+AV318+AY318</f>
        <v>0.7</v>
      </c>
      <c r="P318" s="440">
        <v>1</v>
      </c>
      <c r="Q318" s="440">
        <v>0</v>
      </c>
      <c r="R318" s="440">
        <v>0</v>
      </c>
      <c r="S318" s="440"/>
      <c r="T318" s="440">
        <v>0</v>
      </c>
      <c r="U318" s="445">
        <v>0</v>
      </c>
      <c r="V318" s="440"/>
      <c r="W318" s="440">
        <v>0</v>
      </c>
      <c r="X318" s="445">
        <v>0</v>
      </c>
      <c r="Y318" s="444" t="s">
        <v>2485</v>
      </c>
      <c r="Z318" s="440">
        <v>0</v>
      </c>
      <c r="AA318" s="445">
        <v>0</v>
      </c>
      <c r="AB318" s="444" t="s">
        <v>2481</v>
      </c>
      <c r="AC318" s="440">
        <v>0</v>
      </c>
      <c r="AD318" s="446">
        <v>0.7</v>
      </c>
      <c r="AE318" s="444" t="s">
        <v>2872</v>
      </c>
      <c r="AF318" s="440">
        <v>0</v>
      </c>
      <c r="AG318" s="443">
        <v>0</v>
      </c>
      <c r="AH318" s="440" t="s">
        <v>2487</v>
      </c>
      <c r="AI318" s="440">
        <v>0</v>
      </c>
      <c r="AJ318" s="440"/>
      <c r="AK318" s="440"/>
      <c r="AL318" s="440">
        <v>0</v>
      </c>
      <c r="AM318" s="440"/>
      <c r="AN318" s="440"/>
      <c r="AO318" s="443">
        <v>1</v>
      </c>
      <c r="AP318" s="440"/>
      <c r="AQ318" s="440"/>
      <c r="AR318" s="440">
        <v>0</v>
      </c>
      <c r="AS318" s="440"/>
      <c r="AT318" s="440"/>
      <c r="AU318" s="440">
        <v>0</v>
      </c>
      <c r="AV318" s="440"/>
      <c r="AW318" s="440"/>
      <c r="AX318" s="440">
        <v>0</v>
      </c>
      <c r="AY318" s="442"/>
      <c r="AZ318" s="442"/>
      <c r="BA318" s="435">
        <f t="shared" si="12"/>
        <v>0</v>
      </c>
      <c r="BB318" s="435">
        <f t="shared" si="13"/>
        <v>0.7</v>
      </c>
      <c r="BC318" s="507">
        <f>+IF(BA318=0,+IF(BB318=0,"No programación, No avance",+IF(BB318&gt;0,+IF(BA318=0,BB318/P318))),BB318/BA318)</f>
        <v>0.7</v>
      </c>
    </row>
    <row r="319" spans="1:56" s="2" customFormat="1" ht="60.75" customHeight="1">
      <c r="A319" s="703" t="s">
        <v>29</v>
      </c>
      <c r="B319" s="738">
        <v>27.3</v>
      </c>
      <c r="C319" s="710" t="s">
        <v>360</v>
      </c>
      <c r="D319" s="710" t="s">
        <v>2489</v>
      </c>
      <c r="E319" s="447" t="s">
        <v>2490</v>
      </c>
      <c r="F319" s="447" t="s">
        <v>2491</v>
      </c>
      <c r="G319" s="447">
        <v>0.5</v>
      </c>
      <c r="H319" s="447" t="s">
        <v>361</v>
      </c>
      <c r="I319" s="447" t="s">
        <v>73</v>
      </c>
      <c r="J319" s="447" t="s">
        <v>72</v>
      </c>
      <c r="K319" s="447" t="s">
        <v>1150</v>
      </c>
      <c r="L319" s="447" t="s">
        <v>2492</v>
      </c>
      <c r="M319" s="448">
        <v>44197</v>
      </c>
      <c r="N319" s="448">
        <v>44561</v>
      </c>
      <c r="O319" s="447">
        <f>+R319+U319+X319+AA319+AD319+AG319+AJ319+AM319+AP319+AS319+AV319+AY319</f>
        <v>0</v>
      </c>
      <c r="P319" s="447">
        <v>3</v>
      </c>
      <c r="Q319" s="447">
        <v>0</v>
      </c>
      <c r="R319" s="564">
        <v>0</v>
      </c>
      <c r="S319" s="450" t="s">
        <v>2493</v>
      </c>
      <c r="T319" s="447">
        <v>0</v>
      </c>
      <c r="U319" s="564">
        <v>0</v>
      </c>
      <c r="V319" s="450" t="s">
        <v>2494</v>
      </c>
      <c r="W319" s="447">
        <v>0</v>
      </c>
      <c r="X319" s="447">
        <v>0</v>
      </c>
      <c r="Y319" s="451" t="s">
        <v>2495</v>
      </c>
      <c r="Z319" s="447">
        <v>0</v>
      </c>
      <c r="AA319" s="564">
        <v>0</v>
      </c>
      <c r="AB319" s="565" t="s">
        <v>2496</v>
      </c>
      <c r="AC319" s="447">
        <v>0</v>
      </c>
      <c r="AD319" s="564">
        <v>0</v>
      </c>
      <c r="AE319" s="451" t="s">
        <v>2497</v>
      </c>
      <c r="AF319" s="447">
        <v>0</v>
      </c>
      <c r="AG319" s="564">
        <v>0</v>
      </c>
      <c r="AH319" s="566" t="s">
        <v>2498</v>
      </c>
      <c r="AI319" s="447">
        <v>0</v>
      </c>
      <c r="AJ319" s="447"/>
      <c r="AK319" s="447"/>
      <c r="AL319" s="447">
        <v>0</v>
      </c>
      <c r="AM319" s="447"/>
      <c r="AN319" s="447"/>
      <c r="AO319" s="447">
        <v>1</v>
      </c>
      <c r="AP319" s="447"/>
      <c r="AQ319" s="447"/>
      <c r="AR319" s="447">
        <v>1</v>
      </c>
      <c r="AS319" s="447"/>
      <c r="AT319" s="447"/>
      <c r="AU319" s="447">
        <v>1</v>
      </c>
      <c r="AV319" s="447"/>
      <c r="AW319" s="447"/>
      <c r="AX319" s="447">
        <v>0</v>
      </c>
      <c r="AY319" s="449"/>
      <c r="AZ319" s="449"/>
      <c r="BA319" s="453">
        <f t="shared" si="12"/>
        <v>0</v>
      </c>
      <c r="BB319" s="453">
        <f t="shared" si="13"/>
        <v>0</v>
      </c>
      <c r="BC319" s="75" t="str">
        <f>+IF(BA319=0,+IF(BB319=0,"No programación, No avance",+IF(BB319&gt;0,+IF(BA319=0,BB319/P319))),BB319/BA319)</f>
        <v>No programación, No avance</v>
      </c>
      <c r="BD319" s="2">
        <f>+AVERAGE(BC319:BC329)</f>
        <v>0.75</v>
      </c>
    </row>
    <row r="320" spans="1:56" s="2" customFormat="1" ht="60.75" customHeight="1">
      <c r="A320" s="713"/>
      <c r="B320" s="748"/>
      <c r="C320" s="685"/>
      <c r="D320" s="685"/>
      <c r="E320" s="455" t="s">
        <v>2500</v>
      </c>
      <c r="F320" s="455" t="s">
        <v>2501</v>
      </c>
      <c r="G320" s="455">
        <v>0.2</v>
      </c>
      <c r="H320" s="455" t="s">
        <v>361</v>
      </c>
      <c r="I320" s="455" t="s">
        <v>73</v>
      </c>
      <c r="J320" s="455" t="s">
        <v>72</v>
      </c>
      <c r="K320" s="455" t="s">
        <v>1150</v>
      </c>
      <c r="L320" s="455" t="s">
        <v>2492</v>
      </c>
      <c r="M320" s="456">
        <v>44197</v>
      </c>
      <c r="N320" s="456">
        <v>44561</v>
      </c>
      <c r="O320" s="455">
        <f>+R320+U320+X320+AA320+AD320+AG320+AJ320+AM320+AP320+AS320+AV320+AY320</f>
        <v>0</v>
      </c>
      <c r="P320" s="455">
        <v>2</v>
      </c>
      <c r="Q320" s="455">
        <v>0</v>
      </c>
      <c r="R320" s="567">
        <v>0</v>
      </c>
      <c r="S320" s="463" t="s">
        <v>2502</v>
      </c>
      <c r="T320" s="455">
        <v>0</v>
      </c>
      <c r="U320" s="567">
        <v>0</v>
      </c>
      <c r="V320" s="463" t="s">
        <v>2503</v>
      </c>
      <c r="W320" s="455">
        <v>0</v>
      </c>
      <c r="X320" s="455">
        <v>0</v>
      </c>
      <c r="Y320" s="457" t="s">
        <v>2504</v>
      </c>
      <c r="Z320" s="455">
        <v>0</v>
      </c>
      <c r="AA320" s="567">
        <v>0</v>
      </c>
      <c r="AB320" s="568" t="s">
        <v>2505</v>
      </c>
      <c r="AC320" s="455">
        <v>0</v>
      </c>
      <c r="AD320" s="567">
        <v>0</v>
      </c>
      <c r="AE320" s="457" t="s">
        <v>2497</v>
      </c>
      <c r="AF320" s="455">
        <v>0</v>
      </c>
      <c r="AG320" s="569">
        <v>0</v>
      </c>
      <c r="AH320" s="570" t="s">
        <v>2498</v>
      </c>
      <c r="AI320" s="455">
        <v>0</v>
      </c>
      <c r="AJ320" s="455"/>
      <c r="AK320" s="455"/>
      <c r="AL320" s="455">
        <v>0</v>
      </c>
      <c r="AM320" s="455"/>
      <c r="AN320" s="455"/>
      <c r="AO320" s="455">
        <v>0</v>
      </c>
      <c r="AP320" s="455"/>
      <c r="AQ320" s="455"/>
      <c r="AR320" s="455">
        <v>1</v>
      </c>
      <c r="AS320" s="455"/>
      <c r="AT320" s="455"/>
      <c r="AU320" s="455">
        <v>1</v>
      </c>
      <c r="AV320" s="455"/>
      <c r="AW320" s="455"/>
      <c r="AX320" s="455">
        <v>0</v>
      </c>
      <c r="AY320" s="453"/>
      <c r="AZ320" s="453"/>
      <c r="BA320" s="453">
        <f t="shared" si="12"/>
        <v>0</v>
      </c>
      <c r="BB320" s="453">
        <f t="shared" si="13"/>
        <v>0</v>
      </c>
      <c r="BC320" s="60" t="str">
        <f>+IF(BA320=0,+IF(BB320=0,"No programación, No avance",+IF(BB320&gt;0,+IF(BA320=0,BB320/P320))),BB320/BA320)</f>
        <v>No programación, No avance</v>
      </c>
    </row>
    <row r="321" spans="1:56" s="2" customFormat="1" ht="60.75" customHeight="1" thickBot="1">
      <c r="A321" s="713"/>
      <c r="B321" s="748"/>
      <c r="C321" s="685"/>
      <c r="D321" s="685"/>
      <c r="E321" s="455" t="s">
        <v>2507</v>
      </c>
      <c r="F321" s="455" t="s">
        <v>2501</v>
      </c>
      <c r="G321" s="455">
        <v>0.3</v>
      </c>
      <c r="H321" s="455" t="s">
        <v>361</v>
      </c>
      <c r="I321" s="455" t="s">
        <v>73</v>
      </c>
      <c r="J321" s="455" t="s">
        <v>72</v>
      </c>
      <c r="K321" s="455" t="s">
        <v>1150</v>
      </c>
      <c r="L321" s="455" t="s">
        <v>2492</v>
      </c>
      <c r="M321" s="456">
        <v>44197</v>
      </c>
      <c r="N321" s="456">
        <v>44561</v>
      </c>
      <c r="O321" s="455">
        <f>+R321+U321+X321+AA321+AD321+AG321+AJ321+AM321+AP321+AS321+AV321+AY321</f>
        <v>0</v>
      </c>
      <c r="P321" s="455">
        <v>1</v>
      </c>
      <c r="Q321" s="455">
        <v>0</v>
      </c>
      <c r="R321" s="567">
        <v>0</v>
      </c>
      <c r="S321" s="463" t="s">
        <v>2508</v>
      </c>
      <c r="T321" s="455">
        <v>0</v>
      </c>
      <c r="U321" s="567">
        <v>0</v>
      </c>
      <c r="V321" s="463" t="s">
        <v>2508</v>
      </c>
      <c r="W321" s="455">
        <v>0</v>
      </c>
      <c r="X321" s="455">
        <v>0</v>
      </c>
      <c r="Y321" s="457" t="s">
        <v>2509</v>
      </c>
      <c r="Z321" s="455">
        <v>0</v>
      </c>
      <c r="AA321" s="567">
        <v>0</v>
      </c>
      <c r="AB321" s="568" t="s">
        <v>2510</v>
      </c>
      <c r="AC321" s="455">
        <v>0</v>
      </c>
      <c r="AD321" s="567">
        <v>0</v>
      </c>
      <c r="AE321" s="457" t="s">
        <v>2497</v>
      </c>
      <c r="AF321" s="455">
        <v>0</v>
      </c>
      <c r="AG321" s="571">
        <v>0</v>
      </c>
      <c r="AH321" s="570" t="s">
        <v>2511</v>
      </c>
      <c r="AI321" s="455">
        <v>0</v>
      </c>
      <c r="AJ321" s="455"/>
      <c r="AK321" s="455"/>
      <c r="AL321" s="455">
        <v>0</v>
      </c>
      <c r="AM321" s="455"/>
      <c r="AN321" s="455"/>
      <c r="AO321" s="455">
        <v>0</v>
      </c>
      <c r="AP321" s="455"/>
      <c r="AQ321" s="455"/>
      <c r="AR321" s="455">
        <v>0</v>
      </c>
      <c r="AS321" s="455"/>
      <c r="AT321" s="455"/>
      <c r="AU321" s="455">
        <v>0</v>
      </c>
      <c r="AV321" s="455"/>
      <c r="AW321" s="455"/>
      <c r="AX321" s="455">
        <v>1</v>
      </c>
      <c r="AY321" s="453"/>
      <c r="AZ321" s="453"/>
      <c r="BA321" s="453">
        <f t="shared" si="12"/>
        <v>0</v>
      </c>
      <c r="BB321" s="453">
        <f t="shared" si="13"/>
        <v>0</v>
      </c>
      <c r="BC321" s="60" t="str">
        <f>+IF(BA321=0,+IF(BB321=0,"No programación, No avance",+IF(BB321&gt;0,+IF(BA321=0,BB321/P321))),BB321/BA321)</f>
        <v>No programación, No avance</v>
      </c>
    </row>
    <row r="322" spans="1:56" s="2" customFormat="1" ht="60.75" customHeight="1">
      <c r="A322" s="713"/>
      <c r="B322" s="748"/>
      <c r="C322" s="685" t="s">
        <v>363</v>
      </c>
      <c r="D322" s="685" t="s">
        <v>2513</v>
      </c>
      <c r="E322" s="455" t="s">
        <v>2514</v>
      </c>
      <c r="F322" s="455" t="s">
        <v>2501</v>
      </c>
      <c r="G322" s="455">
        <v>0.2</v>
      </c>
      <c r="H322" s="455" t="s">
        <v>361</v>
      </c>
      <c r="I322" s="455" t="s">
        <v>73</v>
      </c>
      <c r="J322" s="455" t="s">
        <v>72</v>
      </c>
      <c r="K322" s="455" t="s">
        <v>1150</v>
      </c>
      <c r="L322" s="455" t="s">
        <v>2515</v>
      </c>
      <c r="M322" s="456">
        <v>44197</v>
      </c>
      <c r="N322" s="456">
        <v>44561</v>
      </c>
      <c r="O322" s="455">
        <f>+R322+U322+X322+AA322+AD322+AG322+AJ322+AM322+AP322+AS322+AV322+AY322</f>
        <v>0</v>
      </c>
      <c r="P322" s="455">
        <v>30</v>
      </c>
      <c r="Q322" s="455">
        <v>0</v>
      </c>
      <c r="R322" s="567">
        <v>0</v>
      </c>
      <c r="S322" s="463" t="s">
        <v>2516</v>
      </c>
      <c r="T322" s="455">
        <v>0</v>
      </c>
      <c r="U322" s="567">
        <v>0</v>
      </c>
      <c r="V322" s="463" t="s">
        <v>2517</v>
      </c>
      <c r="W322" s="455">
        <v>0</v>
      </c>
      <c r="X322" s="455">
        <v>0</v>
      </c>
      <c r="Y322" s="457" t="s">
        <v>2518</v>
      </c>
      <c r="Z322" s="455">
        <v>0</v>
      </c>
      <c r="AA322" s="567">
        <v>0</v>
      </c>
      <c r="AB322" s="568" t="s">
        <v>365</v>
      </c>
      <c r="AC322" s="455">
        <v>0</v>
      </c>
      <c r="AD322" s="567">
        <v>0</v>
      </c>
      <c r="AE322" s="457" t="s">
        <v>2519</v>
      </c>
      <c r="AF322" s="455">
        <v>0</v>
      </c>
      <c r="AG322" s="564">
        <v>0</v>
      </c>
      <c r="AH322" s="566" t="s">
        <v>2520</v>
      </c>
      <c r="AI322" s="455">
        <v>0</v>
      </c>
      <c r="AJ322" s="455"/>
      <c r="AK322" s="455"/>
      <c r="AL322" s="455">
        <v>0</v>
      </c>
      <c r="AM322" s="455"/>
      <c r="AN322" s="455"/>
      <c r="AO322" s="455">
        <v>10</v>
      </c>
      <c r="AP322" s="455"/>
      <c r="AQ322" s="455"/>
      <c r="AR322" s="455">
        <v>10</v>
      </c>
      <c r="AS322" s="455"/>
      <c r="AT322" s="455"/>
      <c r="AU322" s="455">
        <v>10</v>
      </c>
      <c r="AV322" s="455"/>
      <c r="AW322" s="455"/>
      <c r="AX322" s="455">
        <v>0</v>
      </c>
      <c r="AY322" s="453"/>
      <c r="AZ322" s="453"/>
      <c r="BA322" s="453">
        <f t="shared" si="12"/>
        <v>0</v>
      </c>
      <c r="BB322" s="453">
        <f t="shared" si="13"/>
        <v>0</v>
      </c>
      <c r="BC322" s="60" t="str">
        <f>+IF(BA322=0,+IF(BB322=0,"No programación, No avance",+IF(BB322&gt;0,+IF(BA322=0,BB322/P322))),BB322/BA322)</f>
        <v>No programación, No avance</v>
      </c>
    </row>
    <row r="323" spans="1:56" s="2" customFormat="1" ht="60.75" customHeight="1">
      <c r="A323" s="713"/>
      <c r="B323" s="748"/>
      <c r="C323" s="685"/>
      <c r="D323" s="685"/>
      <c r="E323" s="455" t="s">
        <v>2522</v>
      </c>
      <c r="F323" s="455" t="s">
        <v>2501</v>
      </c>
      <c r="G323" s="455">
        <v>0.4</v>
      </c>
      <c r="H323" s="455" t="s">
        <v>361</v>
      </c>
      <c r="I323" s="455" t="s">
        <v>73</v>
      </c>
      <c r="J323" s="455" t="s">
        <v>72</v>
      </c>
      <c r="K323" s="455" t="s">
        <v>1150</v>
      </c>
      <c r="L323" s="455" t="s">
        <v>2515</v>
      </c>
      <c r="M323" s="456">
        <v>44197</v>
      </c>
      <c r="N323" s="456">
        <v>44561</v>
      </c>
      <c r="O323" s="455">
        <f>+R323+U323+X323+AA323+AD323+AG323+AJ323+AM323+AP323+AS323+AV323+AY323</f>
        <v>0</v>
      </c>
      <c r="P323" s="455">
        <v>5</v>
      </c>
      <c r="Q323" s="455">
        <v>0</v>
      </c>
      <c r="R323" s="567">
        <v>0</v>
      </c>
      <c r="S323" s="463" t="s">
        <v>2516</v>
      </c>
      <c r="T323" s="455">
        <v>0</v>
      </c>
      <c r="U323" s="567">
        <v>0</v>
      </c>
      <c r="V323" s="463" t="s">
        <v>2517</v>
      </c>
      <c r="W323" s="455">
        <v>0</v>
      </c>
      <c r="X323" s="455">
        <v>0</v>
      </c>
      <c r="Y323" s="457" t="s">
        <v>2523</v>
      </c>
      <c r="Z323" s="455">
        <v>0</v>
      </c>
      <c r="AA323" s="567">
        <v>0</v>
      </c>
      <c r="AB323" s="568" t="s">
        <v>365</v>
      </c>
      <c r="AC323" s="455">
        <v>0</v>
      </c>
      <c r="AD323" s="567">
        <v>0</v>
      </c>
      <c r="AE323" s="457" t="s">
        <v>2519</v>
      </c>
      <c r="AF323" s="455">
        <v>0</v>
      </c>
      <c r="AG323" s="569">
        <v>0</v>
      </c>
      <c r="AH323" s="570" t="s">
        <v>2520</v>
      </c>
      <c r="AI323" s="455">
        <v>0</v>
      </c>
      <c r="AJ323" s="455"/>
      <c r="AK323" s="455"/>
      <c r="AL323" s="455">
        <v>0</v>
      </c>
      <c r="AM323" s="455"/>
      <c r="AN323" s="455"/>
      <c r="AO323" s="455">
        <v>2</v>
      </c>
      <c r="AP323" s="455"/>
      <c r="AQ323" s="455"/>
      <c r="AR323" s="455">
        <v>0</v>
      </c>
      <c r="AS323" s="455"/>
      <c r="AT323" s="455"/>
      <c r="AU323" s="455">
        <v>3</v>
      </c>
      <c r="AV323" s="455"/>
      <c r="AW323" s="455"/>
      <c r="AX323" s="455">
        <v>0</v>
      </c>
      <c r="AY323" s="453"/>
      <c r="AZ323" s="453"/>
      <c r="BA323" s="453">
        <f t="shared" si="12"/>
        <v>0</v>
      </c>
      <c r="BB323" s="453">
        <f t="shared" si="13"/>
        <v>0</v>
      </c>
      <c r="BC323" s="60" t="str">
        <f>+IF(BA323=0,+IF(BB323=0,"No programación, No avance",+IF(BB323&gt;0,+IF(BA323=0,BB323/P323))),BB323/BA323)</f>
        <v>No programación, No avance</v>
      </c>
    </row>
    <row r="324" spans="1:56" s="2" customFormat="1" ht="60.75" customHeight="1" thickBot="1">
      <c r="A324" s="713"/>
      <c r="B324" s="748"/>
      <c r="C324" s="685"/>
      <c r="D324" s="685"/>
      <c r="E324" s="455" t="s">
        <v>2525</v>
      </c>
      <c r="F324" s="455" t="s">
        <v>2501</v>
      </c>
      <c r="G324" s="455">
        <v>0.4</v>
      </c>
      <c r="H324" s="455" t="s">
        <v>361</v>
      </c>
      <c r="I324" s="455" t="s">
        <v>73</v>
      </c>
      <c r="J324" s="455" t="s">
        <v>72</v>
      </c>
      <c r="K324" s="455" t="s">
        <v>1150</v>
      </c>
      <c r="L324" s="455" t="s">
        <v>2492</v>
      </c>
      <c r="M324" s="456">
        <v>44197</v>
      </c>
      <c r="N324" s="456">
        <v>44561</v>
      </c>
      <c r="O324" s="455">
        <f>+R324+U324+X324+AA324+AD324+AG324+AJ324+AM324+AP324+AS324+AV324+AY324</f>
        <v>0</v>
      </c>
      <c r="P324" s="455">
        <v>5</v>
      </c>
      <c r="Q324" s="455">
        <v>0</v>
      </c>
      <c r="R324" s="567">
        <v>0</v>
      </c>
      <c r="S324" s="463" t="s">
        <v>2516</v>
      </c>
      <c r="T324" s="455">
        <v>0</v>
      </c>
      <c r="U324" s="567">
        <v>0</v>
      </c>
      <c r="V324" s="463" t="s">
        <v>2517</v>
      </c>
      <c r="W324" s="455">
        <v>0</v>
      </c>
      <c r="X324" s="455">
        <v>0</v>
      </c>
      <c r="Y324" s="457" t="s">
        <v>2526</v>
      </c>
      <c r="Z324" s="455">
        <v>0</v>
      </c>
      <c r="AA324" s="567">
        <v>0</v>
      </c>
      <c r="AB324" s="568" t="s">
        <v>365</v>
      </c>
      <c r="AC324" s="455">
        <v>0</v>
      </c>
      <c r="AD324" s="567">
        <v>0</v>
      </c>
      <c r="AE324" s="457" t="s">
        <v>2519</v>
      </c>
      <c r="AF324" s="455">
        <v>0</v>
      </c>
      <c r="AG324" s="572">
        <v>0</v>
      </c>
      <c r="AH324" s="570" t="s">
        <v>2520</v>
      </c>
      <c r="AI324" s="455">
        <v>0</v>
      </c>
      <c r="AJ324" s="455"/>
      <c r="AK324" s="455"/>
      <c r="AL324" s="455">
        <v>0</v>
      </c>
      <c r="AM324" s="455"/>
      <c r="AN324" s="455"/>
      <c r="AO324" s="455">
        <v>0</v>
      </c>
      <c r="AP324" s="455"/>
      <c r="AQ324" s="455"/>
      <c r="AR324" s="455">
        <v>2</v>
      </c>
      <c r="AS324" s="455"/>
      <c r="AT324" s="455"/>
      <c r="AU324" s="455">
        <v>0</v>
      </c>
      <c r="AV324" s="455"/>
      <c r="AW324" s="455"/>
      <c r="AX324" s="455">
        <v>3</v>
      </c>
      <c r="AY324" s="453"/>
      <c r="AZ324" s="453"/>
      <c r="BA324" s="453">
        <f t="shared" si="12"/>
        <v>0</v>
      </c>
      <c r="BB324" s="453">
        <f t="shared" si="13"/>
        <v>0</v>
      </c>
      <c r="BC324" s="60" t="str">
        <f>+IF(BA324=0,+IF(BB324=0,"No programación, No avance",+IF(BB324&gt;0,+IF(BA324=0,BB324/P324))),BB324/BA324)</f>
        <v>No programación, No avance</v>
      </c>
    </row>
    <row r="325" spans="1:56" s="2" customFormat="1" ht="60.75" customHeight="1">
      <c r="A325" s="713"/>
      <c r="B325" s="748"/>
      <c r="C325" s="685" t="s">
        <v>367</v>
      </c>
      <c r="D325" s="685" t="s">
        <v>2528</v>
      </c>
      <c r="E325" s="455" t="s">
        <v>2529</v>
      </c>
      <c r="F325" s="455" t="s">
        <v>472</v>
      </c>
      <c r="G325" s="455">
        <v>0.5</v>
      </c>
      <c r="H325" s="455" t="s">
        <v>361</v>
      </c>
      <c r="I325" s="455" t="s">
        <v>73</v>
      </c>
      <c r="J325" s="455" t="s">
        <v>72</v>
      </c>
      <c r="K325" s="455" t="s">
        <v>1150</v>
      </c>
      <c r="L325" s="455" t="s">
        <v>2530</v>
      </c>
      <c r="M325" s="456">
        <v>44197</v>
      </c>
      <c r="N325" s="456">
        <v>44561</v>
      </c>
      <c r="O325" s="455">
        <f>+R325+U325+X325+AA325+AD325+AG325+AJ325+AM325+AP325+AS325+AV325+AY325</f>
        <v>1</v>
      </c>
      <c r="P325" s="455">
        <v>1</v>
      </c>
      <c r="Q325" s="455">
        <v>0</v>
      </c>
      <c r="R325" s="567">
        <v>0</v>
      </c>
      <c r="S325" s="463" t="s">
        <v>2531</v>
      </c>
      <c r="T325" s="455">
        <v>0</v>
      </c>
      <c r="U325" s="567">
        <v>0</v>
      </c>
      <c r="V325" s="463" t="s">
        <v>2531</v>
      </c>
      <c r="W325" s="455">
        <v>1</v>
      </c>
      <c r="X325" s="455">
        <v>1</v>
      </c>
      <c r="Y325" s="457" t="s">
        <v>2532</v>
      </c>
      <c r="Z325" s="455">
        <v>0</v>
      </c>
      <c r="AA325" s="567">
        <v>0</v>
      </c>
      <c r="AB325" s="568" t="s">
        <v>2533</v>
      </c>
      <c r="AC325" s="455">
        <v>0</v>
      </c>
      <c r="AD325" s="567">
        <v>0</v>
      </c>
      <c r="AE325" s="457" t="s">
        <v>2534</v>
      </c>
      <c r="AF325" s="455">
        <v>0</v>
      </c>
      <c r="AG325" s="569">
        <v>0</v>
      </c>
      <c r="AH325" s="566" t="s">
        <v>2535</v>
      </c>
      <c r="AI325" s="455">
        <v>0</v>
      </c>
      <c r="AJ325" s="455"/>
      <c r="AK325" s="455"/>
      <c r="AL325" s="455">
        <v>0</v>
      </c>
      <c r="AM325" s="455"/>
      <c r="AN325" s="455"/>
      <c r="AO325" s="455">
        <v>0</v>
      </c>
      <c r="AP325" s="455"/>
      <c r="AQ325" s="455"/>
      <c r="AR325" s="455">
        <v>0</v>
      </c>
      <c r="AS325" s="455"/>
      <c r="AT325" s="455"/>
      <c r="AU325" s="455">
        <v>0</v>
      </c>
      <c r="AV325" s="455"/>
      <c r="AW325" s="455"/>
      <c r="AX325" s="455">
        <v>0</v>
      </c>
      <c r="AY325" s="453"/>
      <c r="AZ325" s="453"/>
      <c r="BA325" s="453">
        <f t="shared" si="12"/>
        <v>1</v>
      </c>
      <c r="BB325" s="453">
        <f t="shared" si="13"/>
        <v>1</v>
      </c>
      <c r="BC325" s="60">
        <f>+IF(BA325=0,+IF(BB325=0,"No programación, No avance",+IF(BB325&gt;0,+IF(BA325=0,BB325/P325))),BB325/BA325)</f>
        <v>1</v>
      </c>
    </row>
    <row r="326" spans="1:56" s="2" customFormat="1" ht="60.75" customHeight="1">
      <c r="A326" s="713"/>
      <c r="B326" s="748"/>
      <c r="C326" s="685"/>
      <c r="D326" s="685"/>
      <c r="E326" s="455" t="s">
        <v>2537</v>
      </c>
      <c r="F326" s="455" t="s">
        <v>472</v>
      </c>
      <c r="G326" s="455">
        <v>0.2</v>
      </c>
      <c r="H326" s="455" t="s">
        <v>361</v>
      </c>
      <c r="I326" s="455" t="s">
        <v>73</v>
      </c>
      <c r="J326" s="455" t="s">
        <v>72</v>
      </c>
      <c r="K326" s="455" t="s">
        <v>1150</v>
      </c>
      <c r="L326" s="455" t="s">
        <v>2538</v>
      </c>
      <c r="M326" s="456">
        <v>44197</v>
      </c>
      <c r="N326" s="456">
        <v>44561</v>
      </c>
      <c r="O326" s="455">
        <f>+R326+U326+X326+AA326+AD326+AG326+AJ326+AM326+AP326+AS326+AV326+AY326</f>
        <v>10</v>
      </c>
      <c r="P326" s="455">
        <v>10</v>
      </c>
      <c r="Q326" s="455">
        <v>0</v>
      </c>
      <c r="R326" s="567">
        <v>0</v>
      </c>
      <c r="S326" s="463" t="s">
        <v>2539</v>
      </c>
      <c r="T326" s="455">
        <v>0</v>
      </c>
      <c r="U326" s="567">
        <v>0</v>
      </c>
      <c r="V326" s="463" t="s">
        <v>2539</v>
      </c>
      <c r="W326" s="455">
        <v>0</v>
      </c>
      <c r="X326" s="455">
        <v>0</v>
      </c>
      <c r="Y326" s="457" t="s">
        <v>2540</v>
      </c>
      <c r="Z326" s="455">
        <v>3</v>
      </c>
      <c r="AA326" s="567">
        <v>10</v>
      </c>
      <c r="AB326" s="568" t="s">
        <v>2541</v>
      </c>
      <c r="AC326" s="455">
        <v>3</v>
      </c>
      <c r="AD326" s="567">
        <v>0</v>
      </c>
      <c r="AE326" s="457" t="s">
        <v>2542</v>
      </c>
      <c r="AF326" s="455">
        <v>4</v>
      </c>
      <c r="AG326" s="569">
        <v>0</v>
      </c>
      <c r="AH326" s="570" t="s">
        <v>2543</v>
      </c>
      <c r="AI326" s="455">
        <v>0</v>
      </c>
      <c r="AJ326" s="455"/>
      <c r="AK326" s="455"/>
      <c r="AL326" s="455">
        <v>0</v>
      </c>
      <c r="AM326" s="455"/>
      <c r="AN326" s="455"/>
      <c r="AO326" s="455">
        <v>0</v>
      </c>
      <c r="AP326" s="455"/>
      <c r="AQ326" s="455"/>
      <c r="AR326" s="455">
        <v>0</v>
      </c>
      <c r="AS326" s="455"/>
      <c r="AT326" s="455"/>
      <c r="AU326" s="455">
        <v>0</v>
      </c>
      <c r="AV326" s="455"/>
      <c r="AW326" s="455"/>
      <c r="AX326" s="455">
        <v>0</v>
      </c>
      <c r="AY326" s="453"/>
      <c r="AZ326" s="453"/>
      <c r="BA326" s="453">
        <f t="shared" si="12"/>
        <v>10</v>
      </c>
      <c r="BB326" s="453">
        <f t="shared" si="13"/>
        <v>10</v>
      </c>
      <c r="BC326" s="60">
        <f>+IF(BA326=0,+IF(BB326=0,"No programación, No avance",+IF(BB326&gt;0,+IF(BA326=0,BB326/P326))),BB326/BA326)</f>
        <v>1</v>
      </c>
    </row>
    <row r="327" spans="1:56" s="2" customFormat="1" ht="60.75" customHeight="1" thickBot="1">
      <c r="A327" s="713"/>
      <c r="B327" s="748"/>
      <c r="C327" s="685"/>
      <c r="D327" s="685"/>
      <c r="E327" s="455" t="s">
        <v>2545</v>
      </c>
      <c r="F327" s="455" t="s">
        <v>472</v>
      </c>
      <c r="G327" s="455">
        <v>0.3</v>
      </c>
      <c r="H327" s="455" t="s">
        <v>361</v>
      </c>
      <c r="I327" s="455" t="s">
        <v>73</v>
      </c>
      <c r="J327" s="455" t="s">
        <v>72</v>
      </c>
      <c r="K327" s="455" t="s">
        <v>2546</v>
      </c>
      <c r="L327" s="455" t="s">
        <v>2547</v>
      </c>
      <c r="M327" s="456">
        <v>44197</v>
      </c>
      <c r="N327" s="456">
        <v>44561</v>
      </c>
      <c r="O327" s="455">
        <f>+R327+U327+X327+AA327+AD327+AG327+AJ327+AM327+AP327+AS327+AV327+AY327</f>
        <v>0</v>
      </c>
      <c r="P327" s="455">
        <v>1</v>
      </c>
      <c r="Q327" s="455">
        <v>0</v>
      </c>
      <c r="R327" s="567">
        <v>0</v>
      </c>
      <c r="S327" s="463" t="s">
        <v>2548</v>
      </c>
      <c r="T327" s="455">
        <v>0</v>
      </c>
      <c r="U327" s="567">
        <v>0</v>
      </c>
      <c r="V327" s="463" t="s">
        <v>2548</v>
      </c>
      <c r="W327" s="455">
        <v>0</v>
      </c>
      <c r="X327" s="455">
        <v>0</v>
      </c>
      <c r="Y327" s="457" t="s">
        <v>2549</v>
      </c>
      <c r="Z327" s="455">
        <v>0</v>
      </c>
      <c r="AA327" s="567">
        <v>0</v>
      </c>
      <c r="AB327" s="568" t="s">
        <v>2550</v>
      </c>
      <c r="AC327" s="455">
        <v>0</v>
      </c>
      <c r="AD327" s="567">
        <v>0</v>
      </c>
      <c r="AE327" s="457" t="s">
        <v>2551</v>
      </c>
      <c r="AF327" s="455">
        <v>0</v>
      </c>
      <c r="AG327" s="572">
        <v>0</v>
      </c>
      <c r="AH327" s="570" t="s">
        <v>2552</v>
      </c>
      <c r="AI327" s="455">
        <v>0</v>
      </c>
      <c r="AJ327" s="455"/>
      <c r="AK327" s="455"/>
      <c r="AL327" s="455">
        <v>0</v>
      </c>
      <c r="AM327" s="455"/>
      <c r="AN327" s="455"/>
      <c r="AO327" s="455">
        <v>0</v>
      </c>
      <c r="AP327" s="455"/>
      <c r="AQ327" s="455"/>
      <c r="AR327" s="455">
        <v>0</v>
      </c>
      <c r="AS327" s="455"/>
      <c r="AT327" s="455"/>
      <c r="AU327" s="455">
        <v>1</v>
      </c>
      <c r="AV327" s="455"/>
      <c r="AW327" s="455"/>
      <c r="AX327" s="455">
        <v>0</v>
      </c>
      <c r="AY327" s="453"/>
      <c r="AZ327" s="453"/>
      <c r="BA327" s="453">
        <f t="shared" si="12"/>
        <v>0</v>
      </c>
      <c r="BB327" s="453">
        <f t="shared" si="13"/>
        <v>0</v>
      </c>
      <c r="BC327" s="60" t="str">
        <f>+IF(BA327=0,+IF(BB327=0,"No programación, No avance",+IF(BB327&gt;0,+IF(BA327=0,BB327/P327))),BB327/BA327)</f>
        <v>No programación, No avance</v>
      </c>
    </row>
    <row r="328" spans="1:56" s="2" customFormat="1" ht="60.75" customHeight="1">
      <c r="A328" s="713"/>
      <c r="B328" s="748"/>
      <c r="C328" s="685" t="s">
        <v>369</v>
      </c>
      <c r="D328" s="685" t="s">
        <v>2554</v>
      </c>
      <c r="E328" s="455" t="s">
        <v>2555</v>
      </c>
      <c r="F328" s="455" t="s">
        <v>472</v>
      </c>
      <c r="G328" s="455">
        <v>0.6</v>
      </c>
      <c r="H328" s="455" t="s">
        <v>361</v>
      </c>
      <c r="I328" s="455" t="s">
        <v>73</v>
      </c>
      <c r="J328" s="455" t="s">
        <v>72</v>
      </c>
      <c r="K328" s="455" t="s">
        <v>2556</v>
      </c>
      <c r="L328" s="455" t="s">
        <v>2557</v>
      </c>
      <c r="M328" s="456">
        <v>44197</v>
      </c>
      <c r="N328" s="456">
        <v>44561</v>
      </c>
      <c r="O328" s="455">
        <f>+R328+U328+X328+AA328+AD328+AG328+AJ328+AM328+AP328+AS328+AV328+AY328</f>
        <v>1</v>
      </c>
      <c r="P328" s="455">
        <v>2</v>
      </c>
      <c r="Q328" s="455">
        <v>0</v>
      </c>
      <c r="R328" s="567">
        <v>0</v>
      </c>
      <c r="S328" s="463" t="s">
        <v>2558</v>
      </c>
      <c r="T328" s="455">
        <v>0</v>
      </c>
      <c r="U328" s="567">
        <v>0</v>
      </c>
      <c r="V328" s="463" t="s">
        <v>2558</v>
      </c>
      <c r="W328" s="455">
        <v>0</v>
      </c>
      <c r="X328" s="455">
        <v>0</v>
      </c>
      <c r="Y328" s="457" t="s">
        <v>2559</v>
      </c>
      <c r="Z328" s="455">
        <v>0</v>
      </c>
      <c r="AA328" s="567">
        <v>0</v>
      </c>
      <c r="AB328" s="568" t="s">
        <v>2560</v>
      </c>
      <c r="AC328" s="455">
        <v>0</v>
      </c>
      <c r="AD328" s="567">
        <v>0</v>
      </c>
      <c r="AE328" s="457" t="s">
        <v>2561</v>
      </c>
      <c r="AF328" s="455">
        <v>0</v>
      </c>
      <c r="AG328" s="569">
        <v>1</v>
      </c>
      <c r="AH328" s="566" t="s">
        <v>2562</v>
      </c>
      <c r="AI328" s="455">
        <v>1</v>
      </c>
      <c r="AJ328" s="455"/>
      <c r="AK328" s="455"/>
      <c r="AL328" s="455">
        <v>0</v>
      </c>
      <c r="AM328" s="455"/>
      <c r="AN328" s="455"/>
      <c r="AO328" s="455">
        <v>0</v>
      </c>
      <c r="AP328" s="455"/>
      <c r="AQ328" s="455"/>
      <c r="AR328" s="455">
        <v>1</v>
      </c>
      <c r="AS328" s="455"/>
      <c r="AT328" s="455"/>
      <c r="AU328" s="455">
        <v>0</v>
      </c>
      <c r="AV328" s="455"/>
      <c r="AW328" s="455"/>
      <c r="AX328" s="455">
        <v>0</v>
      </c>
      <c r="AY328" s="453"/>
      <c r="AZ328" s="453"/>
      <c r="BA328" s="453">
        <f t="shared" si="12"/>
        <v>0</v>
      </c>
      <c r="BB328" s="453">
        <f t="shared" si="13"/>
        <v>1</v>
      </c>
      <c r="BC328" s="60">
        <f>+IF(BA328=0,+IF(BB328=0,"No programación, No avance",+IF(BB328&gt;0,+IF(BA328=0,BB328/P328))),BB328/BA328)</f>
        <v>0.5</v>
      </c>
    </row>
    <row r="329" spans="1:56" s="2" customFormat="1" ht="60.75" customHeight="1" thickBot="1">
      <c r="A329" s="704"/>
      <c r="B329" s="739"/>
      <c r="C329" s="699"/>
      <c r="D329" s="699"/>
      <c r="E329" s="483" t="s">
        <v>2564</v>
      </c>
      <c r="F329" s="483" t="s">
        <v>472</v>
      </c>
      <c r="G329" s="483">
        <v>0.4</v>
      </c>
      <c r="H329" s="483" t="s">
        <v>361</v>
      </c>
      <c r="I329" s="483" t="s">
        <v>73</v>
      </c>
      <c r="J329" s="483" t="s">
        <v>72</v>
      </c>
      <c r="K329" s="483" t="s">
        <v>2556</v>
      </c>
      <c r="L329" s="483" t="s">
        <v>2557</v>
      </c>
      <c r="M329" s="484">
        <v>44197</v>
      </c>
      <c r="N329" s="484">
        <v>44561</v>
      </c>
      <c r="O329" s="483">
        <f>+R329+U329+X329+AA329+AD329+AG329+AJ329+AM329+AP329+AS329+AV329+AY329</f>
        <v>1</v>
      </c>
      <c r="P329" s="483">
        <v>2</v>
      </c>
      <c r="Q329" s="483">
        <v>0</v>
      </c>
      <c r="R329" s="573">
        <v>0</v>
      </c>
      <c r="S329" s="488" t="s">
        <v>370</v>
      </c>
      <c r="T329" s="483">
        <v>0</v>
      </c>
      <c r="U329" s="573">
        <v>0</v>
      </c>
      <c r="V329" s="488" t="s">
        <v>370</v>
      </c>
      <c r="W329" s="483">
        <v>0</v>
      </c>
      <c r="X329" s="483">
        <v>0</v>
      </c>
      <c r="Y329" s="490" t="s">
        <v>2565</v>
      </c>
      <c r="Z329" s="483">
        <v>0</v>
      </c>
      <c r="AA329" s="573">
        <v>0</v>
      </c>
      <c r="AB329" s="574" t="s">
        <v>2566</v>
      </c>
      <c r="AC329" s="483">
        <v>0</v>
      </c>
      <c r="AD329" s="573">
        <v>0</v>
      </c>
      <c r="AE329" s="490" t="s">
        <v>2567</v>
      </c>
      <c r="AF329" s="483">
        <v>0</v>
      </c>
      <c r="AG329" s="572">
        <v>1</v>
      </c>
      <c r="AH329" s="575" t="s">
        <v>2568</v>
      </c>
      <c r="AI329" s="483">
        <v>0</v>
      </c>
      <c r="AJ329" s="483"/>
      <c r="AK329" s="483"/>
      <c r="AL329" s="483">
        <v>0</v>
      </c>
      <c r="AM329" s="483"/>
      <c r="AN329" s="483"/>
      <c r="AO329" s="483">
        <v>1</v>
      </c>
      <c r="AP329" s="483"/>
      <c r="AQ329" s="483"/>
      <c r="AR329" s="483">
        <v>0</v>
      </c>
      <c r="AS329" s="483"/>
      <c r="AT329" s="483"/>
      <c r="AU329" s="483">
        <v>0</v>
      </c>
      <c r="AV329" s="483"/>
      <c r="AW329" s="483"/>
      <c r="AX329" s="483">
        <v>1</v>
      </c>
      <c r="AY329" s="486"/>
      <c r="AZ329" s="486"/>
      <c r="BA329" s="453">
        <f t="shared" si="12"/>
        <v>0</v>
      </c>
      <c r="BB329" s="453">
        <f t="shared" si="13"/>
        <v>1</v>
      </c>
      <c r="BC329" s="67">
        <f>+IF(BA329=0,+IF(BB329=0,"No programación, No avance",+IF(BB329&gt;0,+IF(BA329=0,BB329/P329))),BB329/BA329)</f>
        <v>0.5</v>
      </c>
    </row>
    <row r="330" spans="1:56" s="2" customFormat="1" ht="74.25" customHeight="1">
      <c r="A330" s="700" t="s">
        <v>30</v>
      </c>
      <c r="B330" s="714">
        <v>100</v>
      </c>
      <c r="C330" s="705" t="s">
        <v>372</v>
      </c>
      <c r="D330" s="705" t="s">
        <v>2570</v>
      </c>
      <c r="E330" s="429" t="s">
        <v>2571</v>
      </c>
      <c r="F330" s="429" t="s">
        <v>472</v>
      </c>
      <c r="G330" s="429">
        <v>0.25</v>
      </c>
      <c r="H330" s="429" t="s">
        <v>374</v>
      </c>
      <c r="I330" s="429" t="s">
        <v>73</v>
      </c>
      <c r="J330" s="429" t="s">
        <v>1916</v>
      </c>
      <c r="K330" s="429" t="s">
        <v>2572</v>
      </c>
      <c r="L330" s="429" t="s">
        <v>2573</v>
      </c>
      <c r="M330" s="430">
        <v>44197</v>
      </c>
      <c r="N330" s="430">
        <v>44561</v>
      </c>
      <c r="O330" s="429">
        <v>6</v>
      </c>
      <c r="P330" s="429">
        <v>6</v>
      </c>
      <c r="Q330" s="429">
        <v>0</v>
      </c>
      <c r="R330" s="429">
        <v>5</v>
      </c>
      <c r="S330" s="432" t="s">
        <v>2574</v>
      </c>
      <c r="T330" s="429">
        <v>0</v>
      </c>
      <c r="U330" s="429">
        <v>21</v>
      </c>
      <c r="V330" s="429" t="s">
        <v>2575</v>
      </c>
      <c r="W330" s="429">
        <v>0</v>
      </c>
      <c r="X330" s="429">
        <v>5</v>
      </c>
      <c r="Y330" s="432" t="s">
        <v>2574</v>
      </c>
      <c r="Z330" s="429">
        <v>0</v>
      </c>
      <c r="AA330" s="429">
        <v>0</v>
      </c>
      <c r="AB330" s="432" t="s">
        <v>2576</v>
      </c>
      <c r="AC330" s="429">
        <v>0</v>
      </c>
      <c r="AD330" s="429">
        <v>0</v>
      </c>
      <c r="AE330" s="432" t="s">
        <v>2577</v>
      </c>
      <c r="AF330" s="429">
        <v>3</v>
      </c>
      <c r="AG330" s="433">
        <v>0</v>
      </c>
      <c r="AH330" s="562" t="s">
        <v>2578</v>
      </c>
      <c r="AI330" s="429">
        <v>0</v>
      </c>
      <c r="AJ330" s="429"/>
      <c r="AK330" s="429"/>
      <c r="AL330" s="429">
        <v>0</v>
      </c>
      <c r="AM330" s="429"/>
      <c r="AN330" s="429"/>
      <c r="AO330" s="429">
        <v>0</v>
      </c>
      <c r="AP330" s="429"/>
      <c r="AQ330" s="429"/>
      <c r="AR330" s="429">
        <v>0</v>
      </c>
      <c r="AS330" s="429"/>
      <c r="AT330" s="429"/>
      <c r="AU330" s="429">
        <v>0</v>
      </c>
      <c r="AV330" s="429"/>
      <c r="AW330" s="429"/>
      <c r="AX330" s="429">
        <v>3</v>
      </c>
      <c r="AY330" s="431"/>
      <c r="AZ330" s="431"/>
      <c r="BA330" s="435">
        <f t="shared" si="12"/>
        <v>3</v>
      </c>
      <c r="BB330" s="435">
        <f t="shared" si="13"/>
        <v>31</v>
      </c>
      <c r="BC330" s="576">
        <v>31</v>
      </c>
      <c r="BD330" s="2">
        <f>+AVERAGE(BC330:BC333)</f>
        <v>7.9550000000000001</v>
      </c>
    </row>
    <row r="331" spans="1:56" s="2" customFormat="1" ht="74.25" customHeight="1">
      <c r="A331" s="701"/>
      <c r="B331" s="715"/>
      <c r="C331" s="706"/>
      <c r="D331" s="706"/>
      <c r="E331" s="433" t="s">
        <v>2580</v>
      </c>
      <c r="F331" s="433" t="s">
        <v>472</v>
      </c>
      <c r="G331" s="433">
        <v>0.25</v>
      </c>
      <c r="H331" s="433" t="s">
        <v>374</v>
      </c>
      <c r="I331" s="433" t="s">
        <v>79</v>
      </c>
      <c r="J331" s="433" t="s">
        <v>2581</v>
      </c>
      <c r="K331" s="433" t="s">
        <v>2582</v>
      </c>
      <c r="L331" s="433" t="s">
        <v>2583</v>
      </c>
      <c r="M331" s="434">
        <v>44197</v>
      </c>
      <c r="N331" s="434">
        <v>44561</v>
      </c>
      <c r="O331" s="433">
        <f>(+R331+U331+X331+AA331+AD331+AG331+AJ331+AM331+AP331+AS331+AV331+AY331)/5</f>
        <v>6.9999999999999993E-2</v>
      </c>
      <c r="P331" s="433">
        <v>0.03</v>
      </c>
      <c r="Q331" s="433">
        <v>0</v>
      </c>
      <c r="R331" s="437">
        <v>0</v>
      </c>
      <c r="S331" s="436" t="s">
        <v>2584</v>
      </c>
      <c r="T331" s="433">
        <v>0</v>
      </c>
      <c r="U331" s="543">
        <v>0</v>
      </c>
      <c r="V331" s="433" t="s">
        <v>2585</v>
      </c>
      <c r="W331" s="433">
        <v>0</v>
      </c>
      <c r="X331" s="438">
        <v>0</v>
      </c>
      <c r="Y331" s="436" t="s">
        <v>2584</v>
      </c>
      <c r="Z331" s="433">
        <v>0</v>
      </c>
      <c r="AA331" s="438">
        <v>0.11</v>
      </c>
      <c r="AB331" s="436" t="s">
        <v>2586</v>
      </c>
      <c r="AC331" s="433">
        <v>0</v>
      </c>
      <c r="AD331" s="439">
        <v>0</v>
      </c>
      <c r="AE331" s="436" t="s">
        <v>2587</v>
      </c>
      <c r="AF331" s="543">
        <v>1.4999999999999999E-2</v>
      </c>
      <c r="AG331" s="498" t="s">
        <v>2588</v>
      </c>
      <c r="AH331" s="499" t="s">
        <v>2589</v>
      </c>
      <c r="AI331" s="433">
        <v>0</v>
      </c>
      <c r="AJ331" s="433"/>
      <c r="AK331" s="433"/>
      <c r="AL331" s="433">
        <v>0</v>
      </c>
      <c r="AM331" s="433"/>
      <c r="AN331" s="433"/>
      <c r="AO331" s="433">
        <v>0</v>
      </c>
      <c r="AP331" s="433"/>
      <c r="AQ331" s="433"/>
      <c r="AR331" s="433">
        <v>0</v>
      </c>
      <c r="AS331" s="433"/>
      <c r="AT331" s="433"/>
      <c r="AU331" s="433">
        <v>0</v>
      </c>
      <c r="AV331" s="433"/>
      <c r="AW331" s="433"/>
      <c r="AX331" s="543">
        <v>1.4999999999999999E-2</v>
      </c>
      <c r="AY331" s="435"/>
      <c r="AZ331" s="435"/>
      <c r="BA331" s="435">
        <f t="shared" ref="BA331:BA373" si="14">+Q331+T331+W331+Z331+AC331+AF331</f>
        <v>1.4999999999999999E-2</v>
      </c>
      <c r="BB331" s="435">
        <f t="shared" ref="BB331:BB373" si="15">+R331+U331+X331+AA331+AD331+AG331</f>
        <v>0.35</v>
      </c>
      <c r="BC331" s="577">
        <v>0.27</v>
      </c>
    </row>
    <row r="332" spans="1:56" s="2" customFormat="1" ht="74.25" customHeight="1">
      <c r="A332" s="701"/>
      <c r="B332" s="715"/>
      <c r="C332" s="706"/>
      <c r="D332" s="706"/>
      <c r="E332" s="433" t="s">
        <v>2591</v>
      </c>
      <c r="F332" s="433" t="s">
        <v>472</v>
      </c>
      <c r="G332" s="433">
        <v>2.5000000000000001E-2</v>
      </c>
      <c r="H332" s="433" t="s">
        <v>374</v>
      </c>
      <c r="I332" s="433" t="s">
        <v>73</v>
      </c>
      <c r="J332" s="433" t="s">
        <v>2592</v>
      </c>
      <c r="K332" s="433" t="s">
        <v>2593</v>
      </c>
      <c r="L332" s="433" t="s">
        <v>2583</v>
      </c>
      <c r="M332" s="434">
        <v>44197</v>
      </c>
      <c r="N332" s="434">
        <v>44561</v>
      </c>
      <c r="O332" s="433">
        <f>+R332+U332+X332+AA332+AD332+AG332+AJ332+AM332+AP332+AS332+AV332+AY332</f>
        <v>0</v>
      </c>
      <c r="P332" s="433">
        <v>0</v>
      </c>
      <c r="Q332" s="433">
        <v>0</v>
      </c>
      <c r="R332" s="433">
        <v>0</v>
      </c>
      <c r="S332" s="433" t="s">
        <v>2594</v>
      </c>
      <c r="T332" s="433">
        <v>0</v>
      </c>
      <c r="U332" s="433">
        <v>0</v>
      </c>
      <c r="V332" s="433"/>
      <c r="W332" s="433">
        <v>0</v>
      </c>
      <c r="X332" s="433">
        <v>0</v>
      </c>
      <c r="Y332" s="433"/>
      <c r="Z332" s="433">
        <v>0</v>
      </c>
      <c r="AA332" s="433">
        <v>0</v>
      </c>
      <c r="AB332" s="436" t="s">
        <v>143</v>
      </c>
      <c r="AC332" s="433">
        <v>0</v>
      </c>
      <c r="AD332" s="433">
        <v>0</v>
      </c>
      <c r="AE332" s="436" t="s">
        <v>143</v>
      </c>
      <c r="AF332" s="433">
        <v>2</v>
      </c>
      <c r="AG332" s="498">
        <v>0</v>
      </c>
      <c r="AH332" s="499" t="s">
        <v>143</v>
      </c>
      <c r="AI332" s="433">
        <v>0</v>
      </c>
      <c r="AJ332" s="433"/>
      <c r="AK332" s="433"/>
      <c r="AL332" s="433">
        <v>0</v>
      </c>
      <c r="AM332" s="433"/>
      <c r="AN332" s="433"/>
      <c r="AO332" s="433">
        <v>0</v>
      </c>
      <c r="AP332" s="433"/>
      <c r="AQ332" s="433"/>
      <c r="AR332" s="433">
        <v>0</v>
      </c>
      <c r="AS332" s="433"/>
      <c r="AT332" s="433"/>
      <c r="AU332" s="433">
        <v>0</v>
      </c>
      <c r="AV332" s="433"/>
      <c r="AW332" s="433"/>
      <c r="AX332" s="433">
        <v>2</v>
      </c>
      <c r="AY332" s="435"/>
      <c r="AZ332" s="435"/>
      <c r="BA332" s="435">
        <f t="shared" si="14"/>
        <v>2</v>
      </c>
      <c r="BB332" s="435">
        <f t="shared" si="15"/>
        <v>0</v>
      </c>
      <c r="BC332" s="577">
        <f>+IF(BA332=0,+IF(BB332=0,"No programación, No avance",+IF(BB332&gt;0,+IF(BA332=0,BB332/P332))),BB332/BA332)</f>
        <v>0</v>
      </c>
      <c r="BD332" s="47"/>
    </row>
    <row r="333" spans="1:56" s="2" customFormat="1" ht="74.25" customHeight="1" thickBot="1">
      <c r="A333" s="702"/>
      <c r="B333" s="716"/>
      <c r="C333" s="707"/>
      <c r="D333" s="707"/>
      <c r="E333" s="440" t="s">
        <v>2596</v>
      </c>
      <c r="F333" s="440" t="s">
        <v>472</v>
      </c>
      <c r="G333" s="440">
        <v>0.25</v>
      </c>
      <c r="H333" s="440" t="s">
        <v>374</v>
      </c>
      <c r="I333" s="440" t="s">
        <v>79</v>
      </c>
      <c r="J333" s="440" t="s">
        <v>2597</v>
      </c>
      <c r="K333" s="440" t="s">
        <v>2598</v>
      </c>
      <c r="L333" s="440" t="s">
        <v>2583</v>
      </c>
      <c r="M333" s="441">
        <v>44197</v>
      </c>
      <c r="N333" s="441">
        <v>44561</v>
      </c>
      <c r="O333" s="443">
        <v>0.01</v>
      </c>
      <c r="P333" s="440">
        <v>0.01</v>
      </c>
      <c r="Q333" s="440">
        <v>0</v>
      </c>
      <c r="R333" s="443">
        <v>0</v>
      </c>
      <c r="S333" s="444" t="s">
        <v>2599</v>
      </c>
      <c r="T333" s="440">
        <v>0</v>
      </c>
      <c r="U333" s="578">
        <v>0</v>
      </c>
      <c r="V333" s="440" t="s">
        <v>2600</v>
      </c>
      <c r="W333" s="440">
        <v>0</v>
      </c>
      <c r="X333" s="445">
        <v>0.16500000000000001</v>
      </c>
      <c r="Y333" s="444" t="s">
        <v>2599</v>
      </c>
      <c r="Z333" s="440">
        <v>0</v>
      </c>
      <c r="AA333" s="445">
        <v>0.18</v>
      </c>
      <c r="AB333" s="444" t="s">
        <v>2601</v>
      </c>
      <c r="AC333" s="440">
        <v>0</v>
      </c>
      <c r="AD333" s="446">
        <v>0</v>
      </c>
      <c r="AE333" s="444" t="s">
        <v>2602</v>
      </c>
      <c r="AF333" s="440">
        <v>0</v>
      </c>
      <c r="AG333" s="498">
        <v>0</v>
      </c>
      <c r="AH333" s="499" t="s">
        <v>2603</v>
      </c>
      <c r="AI333" s="440">
        <v>0</v>
      </c>
      <c r="AJ333" s="440"/>
      <c r="AK333" s="440"/>
      <c r="AL333" s="440">
        <v>0</v>
      </c>
      <c r="AM333" s="440"/>
      <c r="AN333" s="440"/>
      <c r="AO333" s="440">
        <v>0</v>
      </c>
      <c r="AP333" s="440"/>
      <c r="AQ333" s="440"/>
      <c r="AR333" s="440">
        <v>0</v>
      </c>
      <c r="AS333" s="440"/>
      <c r="AT333" s="440"/>
      <c r="AU333" s="440">
        <v>0</v>
      </c>
      <c r="AV333" s="440"/>
      <c r="AW333" s="440"/>
      <c r="AX333" s="443">
        <v>0.01</v>
      </c>
      <c r="AY333" s="442"/>
      <c r="AZ333" s="442"/>
      <c r="BA333" s="435">
        <f t="shared" si="14"/>
        <v>0</v>
      </c>
      <c r="BB333" s="435">
        <f t="shared" si="15"/>
        <v>0.34499999999999997</v>
      </c>
      <c r="BC333" s="579">
        <v>0.55000000000000004</v>
      </c>
    </row>
    <row r="334" spans="1:56" s="2" customFormat="1" ht="51.75" customHeight="1">
      <c r="A334" s="703" t="s">
        <v>31</v>
      </c>
      <c r="B334" s="738">
        <v>62</v>
      </c>
      <c r="C334" s="710" t="s">
        <v>376</v>
      </c>
      <c r="D334" s="710" t="s">
        <v>2605</v>
      </c>
      <c r="E334" s="447" t="s">
        <v>2606</v>
      </c>
      <c r="F334" s="447" t="s">
        <v>2607</v>
      </c>
      <c r="G334" s="447">
        <v>0.25</v>
      </c>
      <c r="H334" s="447" t="s">
        <v>2608</v>
      </c>
      <c r="I334" s="447" t="s">
        <v>79</v>
      </c>
      <c r="J334" s="447" t="s">
        <v>2609</v>
      </c>
      <c r="K334" s="447" t="s">
        <v>2610</v>
      </c>
      <c r="L334" s="447" t="s">
        <v>2611</v>
      </c>
      <c r="M334" s="448">
        <v>44197</v>
      </c>
      <c r="N334" s="448">
        <v>44561</v>
      </c>
      <c r="O334" s="447">
        <f>+R334+U334+X334+AA334+AD334+AG334+AJ334+AM334+AP334+AS334+AV334+AY334</f>
        <v>1</v>
      </c>
      <c r="P334" s="447">
        <v>1</v>
      </c>
      <c r="Q334" s="447">
        <v>0</v>
      </c>
      <c r="R334" s="447">
        <v>0</v>
      </c>
      <c r="S334" s="447" t="s">
        <v>2612</v>
      </c>
      <c r="T334" s="447">
        <v>0</v>
      </c>
      <c r="U334" s="580">
        <v>0</v>
      </c>
      <c r="V334" s="447" t="s">
        <v>2612</v>
      </c>
      <c r="W334" s="447">
        <v>0</v>
      </c>
      <c r="X334" s="581">
        <v>0.25</v>
      </c>
      <c r="Y334" s="447" t="s">
        <v>2613</v>
      </c>
      <c r="Z334" s="447">
        <v>0.25</v>
      </c>
      <c r="AA334" s="582">
        <v>0.25</v>
      </c>
      <c r="AB334" s="447" t="s">
        <v>2614</v>
      </c>
      <c r="AC334" s="447">
        <v>0.25</v>
      </c>
      <c r="AD334" s="582">
        <v>0.25</v>
      </c>
      <c r="AE334" s="451" t="s">
        <v>2615</v>
      </c>
      <c r="AF334" s="447">
        <v>0</v>
      </c>
      <c r="AG334" s="582">
        <v>0.25</v>
      </c>
      <c r="AH334" s="583" t="s">
        <v>2616</v>
      </c>
      <c r="AI334" s="447">
        <v>0</v>
      </c>
      <c r="AJ334" s="447"/>
      <c r="AK334" s="447"/>
      <c r="AL334" s="447">
        <v>0</v>
      </c>
      <c r="AM334" s="447"/>
      <c r="AN334" s="447"/>
      <c r="AO334" s="582">
        <v>1</v>
      </c>
      <c r="AP334" s="447"/>
      <c r="AQ334" s="447"/>
      <c r="AR334" s="447">
        <v>0</v>
      </c>
      <c r="AS334" s="447"/>
      <c r="AT334" s="447"/>
      <c r="AU334" s="447">
        <v>0</v>
      </c>
      <c r="AV334" s="447"/>
      <c r="AW334" s="447"/>
      <c r="AX334" s="447">
        <v>0</v>
      </c>
      <c r="AY334" s="449"/>
      <c r="AZ334" s="449"/>
      <c r="BA334" s="453">
        <f t="shared" si="14"/>
        <v>0.5</v>
      </c>
      <c r="BB334" s="453">
        <f t="shared" si="15"/>
        <v>1</v>
      </c>
      <c r="BC334" s="454">
        <f>+IF(BA334=0,+IF(BB334=0,"No programación, No avance",+IF(BB334&gt;0,+IF(BA334=0,BB334/P334))),BB334/BA334)</f>
        <v>2</v>
      </c>
      <c r="BD334" s="2">
        <f>+AVERAGE(BC334:BC341)</f>
        <v>1.383147252747253</v>
      </c>
    </row>
    <row r="335" spans="1:56" s="2" customFormat="1" ht="51.75" customHeight="1">
      <c r="A335" s="713"/>
      <c r="B335" s="748"/>
      <c r="C335" s="685"/>
      <c r="D335" s="685"/>
      <c r="E335" s="455" t="s">
        <v>2618</v>
      </c>
      <c r="F335" s="455" t="s">
        <v>2607</v>
      </c>
      <c r="G335" s="455">
        <v>0.25</v>
      </c>
      <c r="H335" s="455" t="s">
        <v>2608</v>
      </c>
      <c r="I335" s="455" t="s">
        <v>79</v>
      </c>
      <c r="J335" s="455" t="s">
        <v>2609</v>
      </c>
      <c r="K335" s="455" t="s">
        <v>2610</v>
      </c>
      <c r="L335" s="455" t="s">
        <v>2619</v>
      </c>
      <c r="M335" s="456">
        <v>44197</v>
      </c>
      <c r="N335" s="456">
        <v>44561</v>
      </c>
      <c r="O335" s="455">
        <f>+R335+U335+X335+AA335+AD335+AG335+AJ335+AM335+AP335+AS335+AV335+AY335</f>
        <v>1</v>
      </c>
      <c r="P335" s="455">
        <v>1</v>
      </c>
      <c r="Q335" s="455">
        <v>0</v>
      </c>
      <c r="R335" s="455">
        <v>0</v>
      </c>
      <c r="S335" s="455" t="s">
        <v>2612</v>
      </c>
      <c r="T335" s="455">
        <v>0</v>
      </c>
      <c r="U335" s="466">
        <v>0</v>
      </c>
      <c r="V335" s="455" t="s">
        <v>2612</v>
      </c>
      <c r="W335" s="455">
        <v>0</v>
      </c>
      <c r="X335" s="482">
        <v>0.25</v>
      </c>
      <c r="Y335" s="455" t="s">
        <v>2620</v>
      </c>
      <c r="Z335" s="455">
        <v>0.25</v>
      </c>
      <c r="AA335" s="464">
        <v>0.25</v>
      </c>
      <c r="AB335" s="455" t="s">
        <v>2621</v>
      </c>
      <c r="AC335" s="455">
        <v>0.25</v>
      </c>
      <c r="AD335" s="464">
        <v>0.25</v>
      </c>
      <c r="AE335" s="457" t="s">
        <v>2622</v>
      </c>
      <c r="AF335" s="455">
        <v>0</v>
      </c>
      <c r="AG335" s="465">
        <v>0.25</v>
      </c>
      <c r="AH335" s="570" t="s">
        <v>2623</v>
      </c>
      <c r="AI335" s="455">
        <v>0</v>
      </c>
      <c r="AJ335" s="455"/>
      <c r="AK335" s="455"/>
      <c r="AL335" s="455">
        <v>0</v>
      </c>
      <c r="AM335" s="455"/>
      <c r="AN335" s="455"/>
      <c r="AO335" s="464">
        <v>1</v>
      </c>
      <c r="AP335" s="455"/>
      <c r="AQ335" s="455"/>
      <c r="AR335" s="455">
        <v>0</v>
      </c>
      <c r="AS335" s="455"/>
      <c r="AT335" s="455"/>
      <c r="AU335" s="455">
        <v>0</v>
      </c>
      <c r="AV335" s="455"/>
      <c r="AW335" s="455"/>
      <c r="AX335" s="455">
        <v>0</v>
      </c>
      <c r="AY335" s="453"/>
      <c r="AZ335" s="453"/>
      <c r="BA335" s="453">
        <f t="shared" si="14"/>
        <v>0.5</v>
      </c>
      <c r="BB335" s="453">
        <f t="shared" si="15"/>
        <v>1</v>
      </c>
      <c r="BC335" s="459">
        <f>+IF(BA335=0,+IF(BB335=0,"No programación, No avance",+IF(BB335&gt;0,+IF(BA335=0,BB335/P335))),BB335/BA335)</f>
        <v>2</v>
      </c>
    </row>
    <row r="336" spans="1:56" s="2" customFormat="1" ht="51.75" customHeight="1">
      <c r="A336" s="713"/>
      <c r="B336" s="748"/>
      <c r="C336" s="685"/>
      <c r="D336" s="685"/>
      <c r="E336" s="455" t="s">
        <v>2625</v>
      </c>
      <c r="F336" s="455" t="s">
        <v>2607</v>
      </c>
      <c r="G336" s="455">
        <v>0.25</v>
      </c>
      <c r="H336" s="455" t="s">
        <v>2608</v>
      </c>
      <c r="I336" s="455" t="s">
        <v>79</v>
      </c>
      <c r="J336" s="455" t="s">
        <v>2609</v>
      </c>
      <c r="K336" s="455" t="s">
        <v>2610</v>
      </c>
      <c r="L336" s="455" t="s">
        <v>2619</v>
      </c>
      <c r="M336" s="456">
        <v>44197</v>
      </c>
      <c r="N336" s="456">
        <v>44561</v>
      </c>
      <c r="O336" s="455">
        <f>+R336+U336+X336+AA336+AD336+AG336+AJ336+AM336+AP336+AS336+AV336+AY336</f>
        <v>0.75</v>
      </c>
      <c r="P336" s="455">
        <v>1</v>
      </c>
      <c r="Q336" s="455">
        <v>0</v>
      </c>
      <c r="R336" s="455">
        <v>0</v>
      </c>
      <c r="S336" s="455" t="s">
        <v>2612</v>
      </c>
      <c r="T336" s="455">
        <v>0</v>
      </c>
      <c r="U336" s="466">
        <v>0</v>
      </c>
      <c r="V336" s="455" t="s">
        <v>2612</v>
      </c>
      <c r="W336" s="455">
        <v>0</v>
      </c>
      <c r="X336" s="482">
        <v>0.25</v>
      </c>
      <c r="Y336" s="455" t="s">
        <v>2626</v>
      </c>
      <c r="Z336" s="455">
        <v>0.25</v>
      </c>
      <c r="AA336" s="464">
        <v>0.25</v>
      </c>
      <c r="AB336" s="455" t="s">
        <v>2627</v>
      </c>
      <c r="AC336" s="455">
        <v>0.25</v>
      </c>
      <c r="AD336" s="464">
        <v>0.25</v>
      </c>
      <c r="AE336" s="457" t="s">
        <v>2628</v>
      </c>
      <c r="AF336" s="455">
        <v>0</v>
      </c>
      <c r="AG336" s="458">
        <v>0</v>
      </c>
      <c r="AH336" s="570" t="s">
        <v>2629</v>
      </c>
      <c r="AI336" s="455">
        <v>0</v>
      </c>
      <c r="AJ336" s="455"/>
      <c r="AK336" s="455"/>
      <c r="AL336" s="455">
        <v>0</v>
      </c>
      <c r="AM336" s="455"/>
      <c r="AN336" s="455"/>
      <c r="AO336" s="464">
        <v>1</v>
      </c>
      <c r="AP336" s="455"/>
      <c r="AQ336" s="455"/>
      <c r="AR336" s="455">
        <v>0</v>
      </c>
      <c r="AS336" s="455"/>
      <c r="AT336" s="455"/>
      <c r="AU336" s="455">
        <v>0</v>
      </c>
      <c r="AV336" s="455"/>
      <c r="AW336" s="455"/>
      <c r="AX336" s="455">
        <v>0</v>
      </c>
      <c r="AY336" s="453"/>
      <c r="AZ336" s="453"/>
      <c r="BA336" s="453">
        <f t="shared" si="14"/>
        <v>0.5</v>
      </c>
      <c r="BB336" s="453">
        <f t="shared" si="15"/>
        <v>0.75</v>
      </c>
      <c r="BC336" s="459">
        <f>+IF(BA336=0,+IF(BB336=0,"No programación, No avance",+IF(BB336&gt;0,+IF(BA336=0,BB336/P336))),BB336/BA336)</f>
        <v>1.5</v>
      </c>
    </row>
    <row r="337" spans="1:56" s="2" customFormat="1" ht="51.75" customHeight="1">
      <c r="A337" s="713"/>
      <c r="B337" s="748"/>
      <c r="C337" s="685"/>
      <c r="D337" s="685"/>
      <c r="E337" s="455" t="s">
        <v>2631</v>
      </c>
      <c r="F337" s="455" t="s">
        <v>2607</v>
      </c>
      <c r="G337" s="455">
        <v>0.05</v>
      </c>
      <c r="H337" s="455" t="s">
        <v>2608</v>
      </c>
      <c r="I337" s="455" t="s">
        <v>79</v>
      </c>
      <c r="J337" s="455" t="s">
        <v>2609</v>
      </c>
      <c r="K337" s="455" t="s">
        <v>2610</v>
      </c>
      <c r="L337" s="455" t="s">
        <v>2619</v>
      </c>
      <c r="M337" s="456">
        <v>44197</v>
      </c>
      <c r="N337" s="456">
        <v>44561</v>
      </c>
      <c r="O337" s="455">
        <f>+R337+U337+X337+AA337+AD337+AG337+AJ337+AM337+AP337+AS337+AV337+AY337</f>
        <v>0.5</v>
      </c>
      <c r="P337" s="455">
        <v>1</v>
      </c>
      <c r="Q337" s="455">
        <v>0</v>
      </c>
      <c r="R337" s="455">
        <v>0</v>
      </c>
      <c r="S337" s="455" t="s">
        <v>2612</v>
      </c>
      <c r="T337" s="455">
        <v>0</v>
      </c>
      <c r="U337" s="466">
        <v>0</v>
      </c>
      <c r="V337" s="455" t="s">
        <v>2612</v>
      </c>
      <c r="W337" s="455">
        <v>0</v>
      </c>
      <c r="X337" s="482">
        <v>0.25</v>
      </c>
      <c r="Y337" s="455" t="s">
        <v>2632</v>
      </c>
      <c r="Z337" s="455">
        <v>0.25</v>
      </c>
      <c r="AA337" s="464">
        <v>0.25</v>
      </c>
      <c r="AB337" s="455" t="s">
        <v>2633</v>
      </c>
      <c r="AC337" s="455">
        <v>0</v>
      </c>
      <c r="AD337" s="464">
        <v>0</v>
      </c>
      <c r="AE337" s="457" t="s">
        <v>2634</v>
      </c>
      <c r="AF337" s="455">
        <v>0</v>
      </c>
      <c r="AG337" s="458">
        <v>0</v>
      </c>
      <c r="AH337" s="570" t="s">
        <v>2635</v>
      </c>
      <c r="AI337" s="455">
        <v>0</v>
      </c>
      <c r="AJ337" s="455"/>
      <c r="AK337" s="455"/>
      <c r="AL337" s="455">
        <v>0</v>
      </c>
      <c r="AM337" s="455"/>
      <c r="AN337" s="455"/>
      <c r="AO337" s="464">
        <v>1</v>
      </c>
      <c r="AP337" s="455"/>
      <c r="AQ337" s="455"/>
      <c r="AR337" s="455">
        <v>0</v>
      </c>
      <c r="AS337" s="455"/>
      <c r="AT337" s="455"/>
      <c r="AU337" s="455">
        <v>0</v>
      </c>
      <c r="AV337" s="455"/>
      <c r="AW337" s="455"/>
      <c r="AX337" s="455">
        <v>0</v>
      </c>
      <c r="AY337" s="453"/>
      <c r="AZ337" s="453"/>
      <c r="BA337" s="453">
        <f t="shared" si="14"/>
        <v>0.25</v>
      </c>
      <c r="BB337" s="453">
        <f t="shared" si="15"/>
        <v>0.5</v>
      </c>
      <c r="BC337" s="459">
        <f>+IF(BA337=0,+IF(BB337=0,"No programación, No avance",+IF(BB337&gt;0,+IF(BA337=0,BB337/P337))),BB337/BA337)</f>
        <v>2</v>
      </c>
    </row>
    <row r="338" spans="1:56" s="2" customFormat="1" ht="51.75" customHeight="1">
      <c r="A338" s="713"/>
      <c r="B338" s="748"/>
      <c r="C338" s="685"/>
      <c r="D338" s="685"/>
      <c r="E338" s="455" t="s">
        <v>2637</v>
      </c>
      <c r="F338" s="455" t="s">
        <v>2607</v>
      </c>
      <c r="G338" s="455">
        <v>0.05</v>
      </c>
      <c r="H338" s="455" t="s">
        <v>2608</v>
      </c>
      <c r="I338" s="455" t="s">
        <v>73</v>
      </c>
      <c r="J338" s="455" t="s">
        <v>902</v>
      </c>
      <c r="K338" s="455" t="s">
        <v>1027</v>
      </c>
      <c r="L338" s="455" t="s">
        <v>2619</v>
      </c>
      <c r="M338" s="456">
        <v>44197</v>
      </c>
      <c r="N338" s="456">
        <v>44561</v>
      </c>
      <c r="O338" s="455">
        <f>+R338+U338+X338+AA338+AD338+AG338+AJ338+AM338+AP338+AS338+AV338+AY338</f>
        <v>0</v>
      </c>
      <c r="P338" s="455">
        <v>2</v>
      </c>
      <c r="Q338" s="455">
        <v>0</v>
      </c>
      <c r="R338" s="455">
        <v>0</v>
      </c>
      <c r="S338" s="455" t="s">
        <v>2612</v>
      </c>
      <c r="T338" s="455">
        <v>0</v>
      </c>
      <c r="U338" s="455">
        <v>0</v>
      </c>
      <c r="V338" s="455" t="s">
        <v>2612</v>
      </c>
      <c r="W338" s="455">
        <v>0</v>
      </c>
      <c r="X338" s="455">
        <v>0</v>
      </c>
      <c r="Y338" s="455" t="s">
        <v>2638</v>
      </c>
      <c r="Z338" s="455">
        <v>0</v>
      </c>
      <c r="AA338" s="455">
        <v>0</v>
      </c>
      <c r="AB338" s="455" t="s">
        <v>2638</v>
      </c>
      <c r="AC338" s="455">
        <v>0</v>
      </c>
      <c r="AD338" s="455">
        <v>0</v>
      </c>
      <c r="AE338" s="457" t="s">
        <v>2638</v>
      </c>
      <c r="AF338" s="455">
        <v>0</v>
      </c>
      <c r="AG338" s="458">
        <v>0</v>
      </c>
      <c r="AH338" s="460" t="s">
        <v>2639</v>
      </c>
      <c r="AI338" s="455">
        <v>0</v>
      </c>
      <c r="AJ338" s="455"/>
      <c r="AK338" s="455"/>
      <c r="AL338" s="455">
        <v>1</v>
      </c>
      <c r="AM338" s="455"/>
      <c r="AN338" s="455"/>
      <c r="AO338" s="455">
        <v>0</v>
      </c>
      <c r="AP338" s="455"/>
      <c r="AQ338" s="455"/>
      <c r="AR338" s="455">
        <v>0</v>
      </c>
      <c r="AS338" s="455"/>
      <c r="AT338" s="455"/>
      <c r="AU338" s="455">
        <v>0</v>
      </c>
      <c r="AV338" s="455"/>
      <c r="AW338" s="455"/>
      <c r="AX338" s="455">
        <v>1</v>
      </c>
      <c r="AY338" s="453"/>
      <c r="AZ338" s="453"/>
      <c r="BA338" s="453">
        <f t="shared" si="14"/>
        <v>0</v>
      </c>
      <c r="BB338" s="453">
        <f t="shared" si="15"/>
        <v>0</v>
      </c>
      <c r="BC338" s="459" t="str">
        <f>+IF(BA338=0,+IF(BB338=0,"No programación, No avance",+IF(BB338&gt;0,+IF(BA338=0,BB338/P338))),BB338/BA338)</f>
        <v>No programación, No avance</v>
      </c>
    </row>
    <row r="339" spans="1:56" s="2" customFormat="1" ht="51.75" customHeight="1">
      <c r="A339" s="713"/>
      <c r="B339" s="748"/>
      <c r="C339" s="685"/>
      <c r="D339" s="685"/>
      <c r="E339" s="455" t="s">
        <v>2641</v>
      </c>
      <c r="F339" s="455" t="s">
        <v>2607</v>
      </c>
      <c r="G339" s="455">
        <v>0.05</v>
      </c>
      <c r="H339" s="455" t="s">
        <v>2608</v>
      </c>
      <c r="I339" s="455" t="s">
        <v>73</v>
      </c>
      <c r="J339" s="455" t="s">
        <v>902</v>
      </c>
      <c r="K339" s="455" t="s">
        <v>2610</v>
      </c>
      <c r="L339" s="455" t="s">
        <v>2619</v>
      </c>
      <c r="M339" s="456">
        <v>44197</v>
      </c>
      <c r="N339" s="456">
        <v>44561</v>
      </c>
      <c r="O339" s="455">
        <f>+R339+U339+X339+AA339+AD339+AG339+AJ339+AM339+AP339+AS339+AV339+AY339</f>
        <v>1</v>
      </c>
      <c r="P339" s="455">
        <v>1</v>
      </c>
      <c r="Q339" s="455">
        <v>0</v>
      </c>
      <c r="R339" s="455">
        <v>0</v>
      </c>
      <c r="S339" s="455" t="s">
        <v>2612</v>
      </c>
      <c r="T339" s="455">
        <v>0</v>
      </c>
      <c r="U339" s="455">
        <v>0</v>
      </c>
      <c r="V339" s="455" t="s">
        <v>2612</v>
      </c>
      <c r="W339" s="455">
        <v>0</v>
      </c>
      <c r="X339" s="464">
        <v>1</v>
      </c>
      <c r="Y339" s="455" t="s">
        <v>2642</v>
      </c>
      <c r="Z339" s="455">
        <v>0</v>
      </c>
      <c r="AA339" s="464">
        <v>0</v>
      </c>
      <c r="AB339" s="455" t="s">
        <v>2642</v>
      </c>
      <c r="AC339" s="455">
        <v>0</v>
      </c>
      <c r="AD339" s="464">
        <v>0</v>
      </c>
      <c r="AE339" s="457" t="s">
        <v>2642</v>
      </c>
      <c r="AF339" s="455">
        <v>1</v>
      </c>
      <c r="AG339" s="465">
        <v>0</v>
      </c>
      <c r="AH339" s="460" t="s">
        <v>2642</v>
      </c>
      <c r="AI339" s="455">
        <v>0</v>
      </c>
      <c r="AJ339" s="455"/>
      <c r="AK339" s="455"/>
      <c r="AL339" s="455">
        <v>0</v>
      </c>
      <c r="AM339" s="455"/>
      <c r="AN339" s="455"/>
      <c r="AO339" s="455">
        <v>0</v>
      </c>
      <c r="AP339" s="455"/>
      <c r="AQ339" s="455"/>
      <c r="AR339" s="455">
        <v>0</v>
      </c>
      <c r="AS339" s="455"/>
      <c r="AT339" s="455"/>
      <c r="AU339" s="455">
        <v>0</v>
      </c>
      <c r="AV339" s="455"/>
      <c r="AW339" s="455"/>
      <c r="AX339" s="455">
        <v>0</v>
      </c>
      <c r="AY339" s="453"/>
      <c r="AZ339" s="453"/>
      <c r="BA339" s="453">
        <f t="shared" si="14"/>
        <v>1</v>
      </c>
      <c r="BB339" s="453">
        <f t="shared" si="15"/>
        <v>1</v>
      </c>
      <c r="BC339" s="459">
        <f>+IF(BA339=0,+IF(BB339=0,"No programación, No avance",+IF(BB339&gt;0,+IF(BA339=0,BB339/P339))),BB339/BA339)</f>
        <v>1</v>
      </c>
    </row>
    <row r="340" spans="1:56" s="2" customFormat="1" ht="51.75" customHeight="1">
      <c r="A340" s="713"/>
      <c r="B340" s="748"/>
      <c r="C340" s="685"/>
      <c r="D340" s="685"/>
      <c r="E340" s="455" t="s">
        <v>2644</v>
      </c>
      <c r="F340" s="455" t="s">
        <v>2607</v>
      </c>
      <c r="G340" s="455">
        <v>0.05</v>
      </c>
      <c r="H340" s="455" t="s">
        <v>2608</v>
      </c>
      <c r="I340" s="455" t="s">
        <v>79</v>
      </c>
      <c r="J340" s="455" t="s">
        <v>2609</v>
      </c>
      <c r="K340" s="455" t="s">
        <v>2645</v>
      </c>
      <c r="L340" s="455" t="s">
        <v>2619</v>
      </c>
      <c r="M340" s="456">
        <v>44197</v>
      </c>
      <c r="N340" s="456">
        <v>44561</v>
      </c>
      <c r="O340" s="455">
        <f>+R340+U340+X340+AA340+AD340+AG340+AJ340+AM340+AP340+AS340+AV340+AY340</f>
        <v>0.5</v>
      </c>
      <c r="P340" s="455">
        <v>1</v>
      </c>
      <c r="Q340" s="455">
        <v>0</v>
      </c>
      <c r="R340" s="455">
        <v>0.1</v>
      </c>
      <c r="S340" s="455" t="s">
        <v>2646</v>
      </c>
      <c r="T340" s="455">
        <v>0</v>
      </c>
      <c r="U340" s="466">
        <v>0.05</v>
      </c>
      <c r="V340" s="455" t="s">
        <v>2647</v>
      </c>
      <c r="W340" s="464">
        <v>0.25</v>
      </c>
      <c r="X340" s="464">
        <v>0.05</v>
      </c>
      <c r="Y340" s="455" t="s">
        <v>2648</v>
      </c>
      <c r="Z340" s="455">
        <v>0.1</v>
      </c>
      <c r="AA340" s="464">
        <v>0.1</v>
      </c>
      <c r="AB340" s="455" t="s">
        <v>2649</v>
      </c>
      <c r="AC340" s="455">
        <v>0.05</v>
      </c>
      <c r="AD340" s="464">
        <v>0.05</v>
      </c>
      <c r="AE340" s="457" t="s">
        <v>2650</v>
      </c>
      <c r="AF340" s="464">
        <v>0.25</v>
      </c>
      <c r="AG340" s="465">
        <v>0.15</v>
      </c>
      <c r="AH340" s="570" t="s">
        <v>2651</v>
      </c>
      <c r="AI340" s="455">
        <v>0</v>
      </c>
      <c r="AJ340" s="455"/>
      <c r="AK340" s="455"/>
      <c r="AL340" s="455">
        <v>0</v>
      </c>
      <c r="AM340" s="455"/>
      <c r="AN340" s="455"/>
      <c r="AO340" s="464">
        <v>0.25</v>
      </c>
      <c r="AP340" s="455"/>
      <c r="AQ340" s="455"/>
      <c r="AR340" s="455">
        <v>0</v>
      </c>
      <c r="AS340" s="455"/>
      <c r="AT340" s="455"/>
      <c r="AU340" s="455">
        <v>0</v>
      </c>
      <c r="AV340" s="455"/>
      <c r="AW340" s="455"/>
      <c r="AX340" s="464">
        <v>0.25</v>
      </c>
      <c r="AY340" s="453"/>
      <c r="AZ340" s="453"/>
      <c r="BA340" s="453">
        <f t="shared" si="14"/>
        <v>0.64999999999999991</v>
      </c>
      <c r="BB340" s="453">
        <f t="shared" si="15"/>
        <v>0.5</v>
      </c>
      <c r="BC340" s="459">
        <f>+IF(BA340=0,+IF(BB340=0,"No programación, No avance",+IF(BB340&gt;0,+IF(BA340=0,BB340/P340))),BB340/BA340)</f>
        <v>0.76923076923076938</v>
      </c>
    </row>
    <row r="341" spans="1:56" s="2" customFormat="1" ht="51.75" customHeight="1" thickBot="1">
      <c r="A341" s="704"/>
      <c r="B341" s="739"/>
      <c r="C341" s="699"/>
      <c r="D341" s="699"/>
      <c r="E341" s="483" t="s">
        <v>2653</v>
      </c>
      <c r="F341" s="483" t="s">
        <v>2607</v>
      </c>
      <c r="G341" s="483">
        <v>0.05</v>
      </c>
      <c r="H341" s="483" t="s">
        <v>2608</v>
      </c>
      <c r="I341" s="483" t="s">
        <v>79</v>
      </c>
      <c r="J341" s="483" t="s">
        <v>2609</v>
      </c>
      <c r="K341" s="483" t="s">
        <v>2654</v>
      </c>
      <c r="L341" s="483" t="s">
        <v>2619</v>
      </c>
      <c r="M341" s="484">
        <v>44197</v>
      </c>
      <c r="N341" s="484">
        <v>44561</v>
      </c>
      <c r="O341" s="483">
        <f>+(R341+U341+X341+AA341+AD341+AG341+AJ341+AM341+AP341+AS341+AV341+AY341)/5</f>
        <v>4.1279999999999997E-2</v>
      </c>
      <c r="P341" s="483">
        <v>0.1</v>
      </c>
      <c r="Q341" s="483">
        <v>0</v>
      </c>
      <c r="R341" s="483">
        <v>0</v>
      </c>
      <c r="S341" s="483" t="s">
        <v>2655</v>
      </c>
      <c r="T341" s="489">
        <v>0.1</v>
      </c>
      <c r="U341" s="487">
        <v>0</v>
      </c>
      <c r="V341" s="483" t="s">
        <v>2656</v>
      </c>
      <c r="W341" s="489">
        <v>0.1</v>
      </c>
      <c r="X341" s="489">
        <v>1.1299999999999999E-2</v>
      </c>
      <c r="Y341" s="483" t="s">
        <v>2657</v>
      </c>
      <c r="Z341" s="489">
        <v>0.1</v>
      </c>
      <c r="AA341" s="489">
        <v>7.1999999999999995E-2</v>
      </c>
      <c r="AB341" s="483" t="s">
        <v>2658</v>
      </c>
      <c r="AC341" s="489">
        <v>0.1</v>
      </c>
      <c r="AD341" s="485">
        <v>7.5499999999999998E-2</v>
      </c>
      <c r="AE341" s="490" t="s">
        <v>2659</v>
      </c>
      <c r="AF341" s="489">
        <v>0.1</v>
      </c>
      <c r="AG341" s="541" t="s">
        <v>2660</v>
      </c>
      <c r="AH341" s="575" t="s">
        <v>2661</v>
      </c>
      <c r="AI341" s="489">
        <v>0.01</v>
      </c>
      <c r="AJ341" s="483"/>
      <c r="AK341" s="483"/>
      <c r="AL341" s="489">
        <v>0.01</v>
      </c>
      <c r="AM341" s="483"/>
      <c r="AN341" s="483"/>
      <c r="AO341" s="489">
        <v>0.01</v>
      </c>
      <c r="AP341" s="483"/>
      <c r="AQ341" s="483"/>
      <c r="AR341" s="489">
        <v>0.01</v>
      </c>
      <c r="AS341" s="483"/>
      <c r="AT341" s="483"/>
      <c r="AU341" s="489">
        <v>0.01</v>
      </c>
      <c r="AV341" s="483"/>
      <c r="AW341" s="483"/>
      <c r="AX341" s="489">
        <v>0</v>
      </c>
      <c r="AY341" s="486"/>
      <c r="AZ341" s="486"/>
      <c r="BA341" s="453">
        <f>(Q341+T341+W341+Z341+AC341+AF341)/6</f>
        <v>8.3333333333333329E-2</v>
      </c>
      <c r="BB341" s="584">
        <f>(R341+U341+X341+AA341+AD341+AG341)/6</f>
        <v>3.44E-2</v>
      </c>
      <c r="BC341" s="495">
        <f>+IF(BA341=0,+IF(BB341=0,"No programación, No avance",+IF(BB341&gt;0,+IF(BA341=0,BB341/P341))),BB341/BA341)</f>
        <v>0.4128</v>
      </c>
    </row>
    <row r="342" spans="1:56" s="2" customFormat="1" ht="36" customHeight="1" thickBot="1">
      <c r="A342" s="700" t="s">
        <v>32</v>
      </c>
      <c r="B342" s="714">
        <v>46.2</v>
      </c>
      <c r="C342" s="708" t="s">
        <v>378</v>
      </c>
      <c r="D342" s="708" t="s">
        <v>379</v>
      </c>
      <c r="E342" s="429" t="s">
        <v>2663</v>
      </c>
      <c r="F342" s="429" t="s">
        <v>380</v>
      </c>
      <c r="G342" s="429">
        <v>0.6</v>
      </c>
      <c r="H342" s="429" t="s">
        <v>2664</v>
      </c>
      <c r="I342" s="429" t="s">
        <v>73</v>
      </c>
      <c r="J342" s="429" t="s">
        <v>2665</v>
      </c>
      <c r="K342" s="429" t="s">
        <v>2666</v>
      </c>
      <c r="L342" s="429" t="s">
        <v>2667</v>
      </c>
      <c r="M342" s="430">
        <v>44197</v>
      </c>
      <c r="N342" s="430">
        <v>44561</v>
      </c>
      <c r="O342" s="530">
        <f>+R342+U342+X342+AA342+AD342+AG342+AJ342+AM342+AP342+AS342+AV342+AY342</f>
        <v>0.30000000000000004</v>
      </c>
      <c r="P342" s="429">
        <v>2</v>
      </c>
      <c r="Q342" s="429">
        <v>0</v>
      </c>
      <c r="R342" s="429">
        <v>0</v>
      </c>
      <c r="S342" s="429"/>
      <c r="T342" s="429">
        <v>0</v>
      </c>
      <c r="U342" s="429">
        <v>0</v>
      </c>
      <c r="V342" s="429"/>
      <c r="W342" s="429">
        <v>0</v>
      </c>
      <c r="X342" s="530">
        <v>0.1</v>
      </c>
      <c r="Y342" s="432" t="s">
        <v>2668</v>
      </c>
      <c r="Z342" s="429">
        <v>0</v>
      </c>
      <c r="AA342" s="530">
        <v>0.05</v>
      </c>
      <c r="AB342" s="432" t="s">
        <v>2669</v>
      </c>
      <c r="AC342" s="429">
        <v>0</v>
      </c>
      <c r="AD342" s="530">
        <v>0.05</v>
      </c>
      <c r="AE342" s="432" t="s">
        <v>2670</v>
      </c>
      <c r="AF342" s="429">
        <v>1</v>
      </c>
      <c r="AG342" s="530">
        <v>0.1</v>
      </c>
      <c r="AH342" s="585" t="s">
        <v>2671</v>
      </c>
      <c r="AI342" s="429">
        <v>0</v>
      </c>
      <c r="AJ342" s="429"/>
      <c r="AK342" s="429"/>
      <c r="AL342" s="429">
        <v>0</v>
      </c>
      <c r="AM342" s="429"/>
      <c r="AN342" s="429"/>
      <c r="AO342" s="429">
        <v>0</v>
      </c>
      <c r="AP342" s="429"/>
      <c r="AQ342" s="429"/>
      <c r="AR342" s="429">
        <v>0</v>
      </c>
      <c r="AS342" s="429"/>
      <c r="AT342" s="429"/>
      <c r="AU342" s="429">
        <v>1</v>
      </c>
      <c r="AV342" s="429"/>
      <c r="AW342" s="429"/>
      <c r="AX342" s="429">
        <v>0</v>
      </c>
      <c r="AY342" s="431"/>
      <c r="AZ342" s="431"/>
      <c r="BA342" s="435">
        <f t="shared" si="14"/>
        <v>1</v>
      </c>
      <c r="BB342" s="435">
        <f t="shared" si="15"/>
        <v>0.30000000000000004</v>
      </c>
      <c r="BC342" s="497">
        <f>+IF(BA342=0,+IF(BB342=0,"No programación, No avance",+IF(BB342&gt;0,+IF(BA342=0,BB342/P342))),BB342/BA342)</f>
        <v>0.30000000000000004</v>
      </c>
      <c r="BD342" s="2">
        <f>+AVERAGE(BC342:BC349)</f>
        <v>0.98995</v>
      </c>
    </row>
    <row r="343" spans="1:56" s="2" customFormat="1" ht="240">
      <c r="A343" s="701"/>
      <c r="B343" s="715"/>
      <c r="C343" s="709"/>
      <c r="D343" s="709"/>
      <c r="E343" s="433" t="s">
        <v>2673</v>
      </c>
      <c r="F343" s="433" t="s">
        <v>380</v>
      </c>
      <c r="G343" s="433">
        <v>0.4</v>
      </c>
      <c r="H343" s="433" t="s">
        <v>2674</v>
      </c>
      <c r="I343" s="433" t="s">
        <v>73</v>
      </c>
      <c r="J343" s="433" t="s">
        <v>2675</v>
      </c>
      <c r="K343" s="433" t="s">
        <v>819</v>
      </c>
      <c r="L343" s="433" t="s">
        <v>2676</v>
      </c>
      <c r="M343" s="434">
        <v>44197</v>
      </c>
      <c r="N343" s="434">
        <v>44561</v>
      </c>
      <c r="O343" s="433">
        <f>+R343+U343+X343+AA343+AD343+AG343+AJ343+AM343+AP343+AS343+AV343+AY343</f>
        <v>0.4</v>
      </c>
      <c r="P343" s="433">
        <v>1</v>
      </c>
      <c r="Q343" s="433">
        <v>0</v>
      </c>
      <c r="R343" s="433">
        <v>0</v>
      </c>
      <c r="S343" s="433"/>
      <c r="T343" s="433">
        <v>0</v>
      </c>
      <c r="U343" s="433">
        <v>0</v>
      </c>
      <c r="V343" s="433"/>
      <c r="W343" s="433">
        <v>0</v>
      </c>
      <c r="X343" s="437">
        <v>0.1</v>
      </c>
      <c r="Y343" s="436" t="s">
        <v>2677</v>
      </c>
      <c r="Z343" s="433">
        <v>0</v>
      </c>
      <c r="AA343" s="437">
        <v>0.15</v>
      </c>
      <c r="AB343" s="436" t="s">
        <v>2678</v>
      </c>
      <c r="AC343" s="433">
        <v>0</v>
      </c>
      <c r="AD343" s="437">
        <v>0.05</v>
      </c>
      <c r="AE343" s="436" t="s">
        <v>2678</v>
      </c>
      <c r="AF343" s="433">
        <v>0</v>
      </c>
      <c r="AG343" s="530">
        <v>0.1</v>
      </c>
      <c r="AH343" s="586" t="s">
        <v>2679</v>
      </c>
      <c r="AI343" s="433">
        <v>0</v>
      </c>
      <c r="AJ343" s="433"/>
      <c r="AK343" s="433"/>
      <c r="AL343" s="433">
        <v>0</v>
      </c>
      <c r="AM343" s="433"/>
      <c r="AN343" s="433"/>
      <c r="AO343" s="433">
        <v>0</v>
      </c>
      <c r="AP343" s="433"/>
      <c r="AQ343" s="433"/>
      <c r="AR343" s="433">
        <v>1</v>
      </c>
      <c r="AS343" s="433"/>
      <c r="AT343" s="433"/>
      <c r="AU343" s="433">
        <v>0</v>
      </c>
      <c r="AV343" s="433"/>
      <c r="AW343" s="433"/>
      <c r="AX343" s="433">
        <v>0</v>
      </c>
      <c r="AY343" s="435"/>
      <c r="AZ343" s="435"/>
      <c r="BA343" s="435">
        <f t="shared" si="14"/>
        <v>0</v>
      </c>
      <c r="BB343" s="435">
        <f t="shared" si="15"/>
        <v>0.4</v>
      </c>
      <c r="BC343" s="500">
        <f>+IF(BA343=0,+IF(BB343=0,"No programación, No avance",+IF(BB343&gt;0,+IF(BA343=0,BB343/P343))),BB343/BA343)</f>
        <v>0.4</v>
      </c>
    </row>
    <row r="344" spans="1:56" s="2" customFormat="1" ht="48" customHeight="1">
      <c r="A344" s="701"/>
      <c r="B344" s="715"/>
      <c r="C344" s="433" t="s">
        <v>382</v>
      </c>
      <c r="D344" s="433" t="s">
        <v>2681</v>
      </c>
      <c r="E344" s="433" t="s">
        <v>2682</v>
      </c>
      <c r="F344" s="433" t="s">
        <v>380</v>
      </c>
      <c r="G344" s="433">
        <v>1</v>
      </c>
      <c r="H344" s="433" t="s">
        <v>2683</v>
      </c>
      <c r="I344" s="433" t="s">
        <v>73</v>
      </c>
      <c r="J344" s="433" t="s">
        <v>2675</v>
      </c>
      <c r="K344" s="433" t="s">
        <v>819</v>
      </c>
      <c r="L344" s="433" t="s">
        <v>2676</v>
      </c>
      <c r="M344" s="434">
        <v>44197</v>
      </c>
      <c r="N344" s="434">
        <v>44561</v>
      </c>
      <c r="O344" s="433">
        <f>+R344+U344+X344+AA344+AD344+AG344+AJ344+AM344+AP344+AS344+AV344+AY344</f>
        <v>0.35000000000000003</v>
      </c>
      <c r="P344" s="433">
        <v>1</v>
      </c>
      <c r="Q344" s="433">
        <v>0</v>
      </c>
      <c r="R344" s="433">
        <v>0</v>
      </c>
      <c r="S344" s="433"/>
      <c r="T344" s="433">
        <v>0</v>
      </c>
      <c r="U344" s="433">
        <v>0</v>
      </c>
      <c r="V344" s="433"/>
      <c r="W344" s="433">
        <v>0</v>
      </c>
      <c r="X344" s="437">
        <v>0.05</v>
      </c>
      <c r="Y344" s="436" t="s">
        <v>2684</v>
      </c>
      <c r="Z344" s="433">
        <v>0</v>
      </c>
      <c r="AA344" s="437">
        <v>0.05</v>
      </c>
      <c r="AB344" s="436" t="s">
        <v>2685</v>
      </c>
      <c r="AC344" s="433">
        <v>0</v>
      </c>
      <c r="AD344" s="437">
        <v>0.05</v>
      </c>
      <c r="AE344" s="436" t="s">
        <v>2686</v>
      </c>
      <c r="AF344" s="433">
        <v>0</v>
      </c>
      <c r="AG344" s="506">
        <v>0.2</v>
      </c>
      <c r="AH344" s="499" t="s">
        <v>2687</v>
      </c>
      <c r="AI344" s="433">
        <v>0</v>
      </c>
      <c r="AJ344" s="433"/>
      <c r="AK344" s="433"/>
      <c r="AL344" s="433">
        <v>0</v>
      </c>
      <c r="AM344" s="433"/>
      <c r="AN344" s="433"/>
      <c r="AO344" s="433">
        <v>1</v>
      </c>
      <c r="AP344" s="433"/>
      <c r="AQ344" s="433"/>
      <c r="AR344" s="433">
        <v>0</v>
      </c>
      <c r="AS344" s="433"/>
      <c r="AT344" s="433"/>
      <c r="AU344" s="433">
        <v>0</v>
      </c>
      <c r="AV344" s="433"/>
      <c r="AW344" s="433"/>
      <c r="AX344" s="433">
        <v>0</v>
      </c>
      <c r="AY344" s="435"/>
      <c r="AZ344" s="435"/>
      <c r="BA344" s="435">
        <f t="shared" si="14"/>
        <v>0</v>
      </c>
      <c r="BB344" s="435">
        <f t="shared" si="15"/>
        <v>0.35000000000000003</v>
      </c>
      <c r="BC344" s="500">
        <f>+IF(BA344=0,+IF(BB344=0,"No programación, No avance",+IF(BB344&gt;0,+IF(BA344=0,BB344/P344))),BB344/BA344)</f>
        <v>0.35000000000000003</v>
      </c>
    </row>
    <row r="345" spans="1:56" s="2" customFormat="1" ht="60" customHeight="1">
      <c r="A345" s="701"/>
      <c r="B345" s="715"/>
      <c r="C345" s="433" t="s">
        <v>384</v>
      </c>
      <c r="D345" s="433" t="s">
        <v>2689</v>
      </c>
      <c r="E345" s="433" t="s">
        <v>2690</v>
      </c>
      <c r="F345" s="433" t="s">
        <v>380</v>
      </c>
      <c r="G345" s="433">
        <v>1</v>
      </c>
      <c r="H345" s="433" t="s">
        <v>2691</v>
      </c>
      <c r="I345" s="433" t="s">
        <v>79</v>
      </c>
      <c r="J345" s="433" t="s">
        <v>2692</v>
      </c>
      <c r="K345" s="433" t="s">
        <v>2693</v>
      </c>
      <c r="L345" s="433" t="s">
        <v>2694</v>
      </c>
      <c r="M345" s="434">
        <v>44197</v>
      </c>
      <c r="N345" s="434">
        <v>44561</v>
      </c>
      <c r="O345" s="433">
        <f>+R345+U345+X345+AA345+AD345+AG345+AJ345+AM345+AP345+AS345+AV345+AY345</f>
        <v>0.5</v>
      </c>
      <c r="P345" s="433">
        <v>1</v>
      </c>
      <c r="Q345" s="433">
        <v>0</v>
      </c>
      <c r="R345" s="433">
        <v>0</v>
      </c>
      <c r="S345" s="433"/>
      <c r="T345" s="433">
        <v>0</v>
      </c>
      <c r="U345" s="438">
        <v>0</v>
      </c>
      <c r="V345" s="433"/>
      <c r="W345" s="433">
        <v>0.1</v>
      </c>
      <c r="X345" s="437">
        <v>0.1</v>
      </c>
      <c r="Y345" s="436" t="s">
        <v>2695</v>
      </c>
      <c r="Z345" s="433">
        <v>0.1</v>
      </c>
      <c r="AA345" s="437">
        <v>0.1</v>
      </c>
      <c r="AB345" s="436" t="s">
        <v>2696</v>
      </c>
      <c r="AC345" s="433">
        <v>0.1</v>
      </c>
      <c r="AD345" s="437">
        <v>0.1</v>
      </c>
      <c r="AE345" s="436" t="s">
        <v>2697</v>
      </c>
      <c r="AF345" s="433">
        <v>0.1</v>
      </c>
      <c r="AG345" s="506">
        <v>0.2</v>
      </c>
      <c r="AH345" s="499" t="s">
        <v>2698</v>
      </c>
      <c r="AI345" s="433">
        <v>0.1</v>
      </c>
      <c r="AJ345" s="433"/>
      <c r="AK345" s="433"/>
      <c r="AL345" s="433">
        <v>0.1</v>
      </c>
      <c r="AM345" s="433"/>
      <c r="AN345" s="433"/>
      <c r="AO345" s="433">
        <v>0.1</v>
      </c>
      <c r="AP345" s="433"/>
      <c r="AQ345" s="433"/>
      <c r="AR345" s="433">
        <v>0.1</v>
      </c>
      <c r="AS345" s="433"/>
      <c r="AT345" s="433"/>
      <c r="AU345" s="433">
        <v>0.1</v>
      </c>
      <c r="AV345" s="433"/>
      <c r="AW345" s="433"/>
      <c r="AX345" s="433">
        <v>0.1</v>
      </c>
      <c r="AY345" s="435"/>
      <c r="AZ345" s="435"/>
      <c r="BA345" s="435">
        <f t="shared" si="14"/>
        <v>0.4</v>
      </c>
      <c r="BB345" s="435">
        <f t="shared" si="15"/>
        <v>0.5</v>
      </c>
      <c r="BC345" s="500">
        <f>+IF(BA345=0,+IF(BB345=0,"No programación, No avance",+IF(BB345&gt;0,+IF(BA345=0,BB345/P345))),BB345/BA345)</f>
        <v>1.25</v>
      </c>
    </row>
    <row r="346" spans="1:56" s="2" customFormat="1" ht="70.5" customHeight="1">
      <c r="A346" s="701"/>
      <c r="B346" s="715"/>
      <c r="C346" s="433" t="s">
        <v>386</v>
      </c>
      <c r="D346" s="433" t="s">
        <v>387</v>
      </c>
      <c r="E346" s="433" t="s">
        <v>2700</v>
      </c>
      <c r="F346" s="433" t="s">
        <v>380</v>
      </c>
      <c r="G346" s="433">
        <v>1</v>
      </c>
      <c r="H346" s="433" t="s">
        <v>2691</v>
      </c>
      <c r="I346" s="433" t="s">
        <v>73</v>
      </c>
      <c r="J346" s="433" t="s">
        <v>2701</v>
      </c>
      <c r="K346" s="433" t="s">
        <v>819</v>
      </c>
      <c r="L346" s="433" t="s">
        <v>2694</v>
      </c>
      <c r="M346" s="434">
        <v>44197</v>
      </c>
      <c r="N346" s="434">
        <v>44561</v>
      </c>
      <c r="O346" s="433">
        <f>+R346+U346+X346+AA346+AD346+AG346+AJ346+AM346+AP346+AS346+AV346+AY346</f>
        <v>0.5</v>
      </c>
      <c r="P346" s="433">
        <v>1</v>
      </c>
      <c r="Q346" s="433">
        <v>0</v>
      </c>
      <c r="R346" s="433">
        <v>0</v>
      </c>
      <c r="S346" s="433"/>
      <c r="T346" s="433">
        <v>0</v>
      </c>
      <c r="U346" s="433">
        <v>0</v>
      </c>
      <c r="V346" s="433"/>
      <c r="W346" s="433">
        <v>0</v>
      </c>
      <c r="X346" s="437">
        <v>0.1</v>
      </c>
      <c r="Y346" s="436" t="s">
        <v>2702</v>
      </c>
      <c r="Z346" s="433">
        <v>0</v>
      </c>
      <c r="AA346" s="437">
        <v>0.05</v>
      </c>
      <c r="AB346" s="436" t="s">
        <v>2703</v>
      </c>
      <c r="AC346" s="433">
        <v>0</v>
      </c>
      <c r="AD346" s="437">
        <v>0.1</v>
      </c>
      <c r="AE346" s="436" t="s">
        <v>2704</v>
      </c>
      <c r="AF346" s="433">
        <v>1</v>
      </c>
      <c r="AG346" s="506">
        <v>0.25</v>
      </c>
      <c r="AH346" s="499" t="s">
        <v>2705</v>
      </c>
      <c r="AI346" s="433">
        <v>0</v>
      </c>
      <c r="AJ346" s="433"/>
      <c r="AK346" s="433"/>
      <c r="AL346" s="433">
        <v>0</v>
      </c>
      <c r="AM346" s="433"/>
      <c r="AN346" s="433"/>
      <c r="AO346" s="433">
        <v>0</v>
      </c>
      <c r="AP346" s="433"/>
      <c r="AQ346" s="433"/>
      <c r="AR346" s="433">
        <v>0</v>
      </c>
      <c r="AS346" s="433"/>
      <c r="AT346" s="433"/>
      <c r="AU346" s="433">
        <v>0</v>
      </c>
      <c r="AV346" s="433"/>
      <c r="AW346" s="433"/>
      <c r="AX346" s="433">
        <v>0</v>
      </c>
      <c r="AY346" s="435"/>
      <c r="AZ346" s="435"/>
      <c r="BA346" s="435">
        <f t="shared" si="14"/>
        <v>1</v>
      </c>
      <c r="BB346" s="435">
        <f t="shared" si="15"/>
        <v>0.5</v>
      </c>
      <c r="BC346" s="500">
        <f>+IF(BA346=0,+IF(BB346=0,"No programación, No avance",+IF(BB346&gt;0,+IF(BA346=0,BB346/P346))),BB346/BA346)</f>
        <v>0.5</v>
      </c>
    </row>
    <row r="347" spans="1:56" s="2" customFormat="1" ht="37.5" customHeight="1">
      <c r="A347" s="701"/>
      <c r="B347" s="715"/>
      <c r="C347" s="706" t="s">
        <v>389</v>
      </c>
      <c r="D347" s="706" t="s">
        <v>2707</v>
      </c>
      <c r="E347" s="433" t="s">
        <v>2708</v>
      </c>
      <c r="F347" s="433" t="s">
        <v>380</v>
      </c>
      <c r="G347" s="433">
        <v>0.6</v>
      </c>
      <c r="H347" s="433" t="s">
        <v>2709</v>
      </c>
      <c r="I347" s="433" t="s">
        <v>73</v>
      </c>
      <c r="J347" s="433" t="s">
        <v>2710</v>
      </c>
      <c r="K347" s="433" t="s">
        <v>2711</v>
      </c>
      <c r="L347" s="433" t="s">
        <v>2694</v>
      </c>
      <c r="M347" s="434">
        <v>44197</v>
      </c>
      <c r="N347" s="434">
        <v>44561</v>
      </c>
      <c r="O347" s="433">
        <f>+R347+U347+X347+AA347+AD347+AG347+AJ347+AM347+AP347+AS347+AV347+AY347</f>
        <v>1</v>
      </c>
      <c r="P347" s="433">
        <v>2</v>
      </c>
      <c r="Q347" s="433">
        <v>0</v>
      </c>
      <c r="R347" s="433">
        <v>0</v>
      </c>
      <c r="S347" s="433"/>
      <c r="T347" s="433">
        <f>+P347*0.05</f>
        <v>0.1</v>
      </c>
      <c r="U347" s="433">
        <v>0.1</v>
      </c>
      <c r="V347" s="433"/>
      <c r="W347" s="437">
        <v>0.05</v>
      </c>
      <c r="X347" s="437">
        <v>0.1</v>
      </c>
      <c r="Y347" s="436" t="s">
        <v>2712</v>
      </c>
      <c r="Z347" s="437">
        <v>0.05</v>
      </c>
      <c r="AA347" s="437">
        <v>0.15</v>
      </c>
      <c r="AB347" s="436" t="s">
        <v>2713</v>
      </c>
      <c r="AC347" s="437">
        <v>0.05</v>
      </c>
      <c r="AD347" s="437">
        <v>0.25</v>
      </c>
      <c r="AE347" s="436" t="s">
        <v>2714</v>
      </c>
      <c r="AF347" s="433">
        <v>0</v>
      </c>
      <c r="AG347" s="506">
        <v>0.4</v>
      </c>
      <c r="AH347" s="586" t="s">
        <v>2715</v>
      </c>
      <c r="AI347" s="433">
        <v>0</v>
      </c>
      <c r="AJ347" s="433"/>
      <c r="AK347" s="433"/>
      <c r="AL347" s="433">
        <v>0</v>
      </c>
      <c r="AM347" s="433"/>
      <c r="AN347" s="433"/>
      <c r="AO347" s="433">
        <v>0</v>
      </c>
      <c r="AP347" s="433"/>
      <c r="AQ347" s="433"/>
      <c r="AR347" s="433">
        <v>0</v>
      </c>
      <c r="AS347" s="433"/>
      <c r="AT347" s="433"/>
      <c r="AU347" s="433">
        <v>0</v>
      </c>
      <c r="AV347" s="433"/>
      <c r="AW347" s="433"/>
      <c r="AX347" s="433">
        <v>1</v>
      </c>
      <c r="AY347" s="435"/>
      <c r="AZ347" s="435"/>
      <c r="BA347" s="435">
        <f t="shared" si="14"/>
        <v>0.25</v>
      </c>
      <c r="BB347" s="435">
        <f t="shared" si="15"/>
        <v>1</v>
      </c>
      <c r="BC347" s="500">
        <f>+IF(BA347=0,+IF(BB347=0,"No programación, No avance",+IF(BB347&gt;0,+IF(BA347=0,BB347/P347))),BB347/BA347)</f>
        <v>4</v>
      </c>
    </row>
    <row r="348" spans="1:56" s="2" customFormat="1" ht="108">
      <c r="A348" s="701"/>
      <c r="B348" s="715"/>
      <c r="C348" s="706"/>
      <c r="D348" s="706"/>
      <c r="E348" s="433" t="s">
        <v>2717</v>
      </c>
      <c r="F348" s="433" t="s">
        <v>380</v>
      </c>
      <c r="G348" s="433">
        <v>0.4</v>
      </c>
      <c r="H348" s="433" t="s">
        <v>397</v>
      </c>
      <c r="I348" s="433" t="s">
        <v>79</v>
      </c>
      <c r="J348" s="433" t="s">
        <v>2718</v>
      </c>
      <c r="K348" s="433" t="s">
        <v>2719</v>
      </c>
      <c r="L348" s="433" t="s">
        <v>2694</v>
      </c>
      <c r="M348" s="434">
        <v>44197</v>
      </c>
      <c r="N348" s="434">
        <v>44561</v>
      </c>
      <c r="O348" s="543">
        <f>(+R348+U348+X348+AA348+AD348+AG348+AJ348+AM348+AP348+AS348+AV348+AY348)</f>
        <v>0.15000000000000002</v>
      </c>
      <c r="P348" s="437">
        <v>0.5</v>
      </c>
      <c r="Q348" s="433">
        <v>0</v>
      </c>
      <c r="R348" s="433">
        <v>0</v>
      </c>
      <c r="S348" s="433"/>
      <c r="T348" s="433">
        <v>0</v>
      </c>
      <c r="U348" s="438">
        <v>0</v>
      </c>
      <c r="V348" s="433"/>
      <c r="W348" s="437">
        <v>0.25</v>
      </c>
      <c r="X348" s="587">
        <v>0.05</v>
      </c>
      <c r="Y348" s="436" t="s">
        <v>2720</v>
      </c>
      <c r="Z348" s="433">
        <f>10/40</f>
        <v>0.25</v>
      </c>
      <c r="AA348" s="437">
        <v>0.1</v>
      </c>
      <c r="AB348" s="436" t="s">
        <v>2721</v>
      </c>
      <c r="AC348" s="437">
        <v>0.25</v>
      </c>
      <c r="AD348" s="587">
        <v>0</v>
      </c>
      <c r="AE348" s="436" t="s">
        <v>2722</v>
      </c>
      <c r="AF348" s="437">
        <v>0.5</v>
      </c>
      <c r="AG348" s="506">
        <v>0</v>
      </c>
      <c r="AH348" s="586" t="s">
        <v>2722</v>
      </c>
      <c r="AI348" s="433">
        <v>0</v>
      </c>
      <c r="AJ348" s="433"/>
      <c r="AK348" s="433"/>
      <c r="AL348" s="433">
        <v>0</v>
      </c>
      <c r="AM348" s="433"/>
      <c r="AN348" s="433"/>
      <c r="AO348" s="433">
        <v>0</v>
      </c>
      <c r="AP348" s="433"/>
      <c r="AQ348" s="433"/>
      <c r="AR348" s="433">
        <v>0</v>
      </c>
      <c r="AS348" s="433"/>
      <c r="AT348" s="433"/>
      <c r="AU348" s="433">
        <v>0</v>
      </c>
      <c r="AV348" s="433"/>
      <c r="AW348" s="433"/>
      <c r="AX348" s="437">
        <v>0.2</v>
      </c>
      <c r="AY348" s="435"/>
      <c r="AZ348" s="435"/>
      <c r="BA348" s="435">
        <f t="shared" si="14"/>
        <v>1.25</v>
      </c>
      <c r="BB348" s="435">
        <f t="shared" si="15"/>
        <v>0.15000000000000002</v>
      </c>
      <c r="BC348" s="500">
        <f>+IF(BA348=0,+IF(BB348=0,"No programación, No avance",+IF(BB348&gt;0,+IF(BA348=0,BB348/P348))),BB348/BA348)</f>
        <v>0.12000000000000002</v>
      </c>
    </row>
    <row r="349" spans="1:56" s="2" customFormat="1" ht="84" customHeight="1" thickBot="1">
      <c r="A349" s="702"/>
      <c r="B349" s="716"/>
      <c r="C349" s="440" t="s">
        <v>391</v>
      </c>
      <c r="D349" s="440" t="s">
        <v>2724</v>
      </c>
      <c r="E349" s="440" t="s">
        <v>2725</v>
      </c>
      <c r="F349" s="440" t="s">
        <v>380</v>
      </c>
      <c r="G349" s="440">
        <v>1</v>
      </c>
      <c r="H349" s="440" t="s">
        <v>2726</v>
      </c>
      <c r="I349" s="440" t="s">
        <v>79</v>
      </c>
      <c r="J349" s="440" t="s">
        <v>2727</v>
      </c>
      <c r="K349" s="440" t="s">
        <v>2728</v>
      </c>
      <c r="L349" s="440" t="s">
        <v>2694</v>
      </c>
      <c r="M349" s="441">
        <v>44197</v>
      </c>
      <c r="N349" s="441">
        <v>44561</v>
      </c>
      <c r="O349" s="440">
        <f>+R349+U349+X349+AA349+AD349+AG349+AJ349+AM349+AP349+AS349+AV349+AY349</f>
        <v>0.49979999999999997</v>
      </c>
      <c r="P349" s="440">
        <v>1</v>
      </c>
      <c r="Q349" s="440">
        <v>8.3333333333333329E-2</v>
      </c>
      <c r="R349" s="588">
        <v>8.3299999999999999E-2</v>
      </c>
      <c r="S349" s="440"/>
      <c r="T349" s="440">
        <v>8.3333333333333329E-2</v>
      </c>
      <c r="U349" s="445">
        <v>8.3299999999999999E-2</v>
      </c>
      <c r="V349" s="440"/>
      <c r="W349" s="440">
        <v>8.3333333333333329E-2</v>
      </c>
      <c r="X349" s="588">
        <v>8.3299999999999999E-2</v>
      </c>
      <c r="Y349" s="444" t="s">
        <v>2729</v>
      </c>
      <c r="Z349" s="440">
        <v>8.3333333333333329E-2</v>
      </c>
      <c r="AA349" s="588">
        <v>8.3299999999999999E-2</v>
      </c>
      <c r="AB349" s="444" t="s">
        <v>2730</v>
      </c>
      <c r="AC349" s="440">
        <v>8.3333333333333329E-2</v>
      </c>
      <c r="AD349" s="588">
        <v>8.3299999999999999E-2</v>
      </c>
      <c r="AE349" s="444" t="s">
        <v>2731</v>
      </c>
      <c r="AF349" s="440">
        <v>8.3333333333333329E-2</v>
      </c>
      <c r="AG349" s="589">
        <v>8.3299999999999999E-2</v>
      </c>
      <c r="AH349" s="590" t="s">
        <v>2732</v>
      </c>
      <c r="AI349" s="440">
        <v>8.3333333333333329E-2</v>
      </c>
      <c r="AJ349" s="440"/>
      <c r="AK349" s="440"/>
      <c r="AL349" s="440">
        <v>8.3333333333333329E-2</v>
      </c>
      <c r="AM349" s="440"/>
      <c r="AN349" s="440"/>
      <c r="AO349" s="440">
        <v>8.3333333333333329E-2</v>
      </c>
      <c r="AP349" s="440"/>
      <c r="AQ349" s="440"/>
      <c r="AR349" s="440">
        <v>8.3333333333333329E-2</v>
      </c>
      <c r="AS349" s="440"/>
      <c r="AT349" s="440"/>
      <c r="AU349" s="440">
        <v>8.3333333333333329E-2</v>
      </c>
      <c r="AV349" s="440"/>
      <c r="AW349" s="440"/>
      <c r="AX349" s="440">
        <v>8.3333333333333329E-2</v>
      </c>
      <c r="AY349" s="442"/>
      <c r="AZ349" s="442"/>
      <c r="BA349" s="435">
        <f t="shared" si="14"/>
        <v>0.49999999999999994</v>
      </c>
      <c r="BB349" s="435">
        <f t="shared" si="15"/>
        <v>0.49979999999999997</v>
      </c>
      <c r="BC349" s="507">
        <f>+IF(BA349=0,+IF(BB349=0,"No programación, No avance",+IF(BB349&gt;0,+IF(BA349=0,BB349/P349))),BB349/BA349)</f>
        <v>0.99960000000000004</v>
      </c>
      <c r="BD349" s="47"/>
    </row>
    <row r="350" spans="1:56" s="2" customFormat="1" ht="48" customHeight="1">
      <c r="A350" s="703" t="s">
        <v>33</v>
      </c>
      <c r="B350" s="738">
        <v>55.3</v>
      </c>
      <c r="C350" s="447" t="s">
        <v>394</v>
      </c>
      <c r="D350" s="447" t="s">
        <v>2734</v>
      </c>
      <c r="E350" s="447" t="s">
        <v>2735</v>
      </c>
      <c r="F350" s="447" t="s">
        <v>380</v>
      </c>
      <c r="G350" s="447">
        <v>1</v>
      </c>
      <c r="H350" s="447" t="s">
        <v>2736</v>
      </c>
      <c r="I350" s="447" t="s">
        <v>79</v>
      </c>
      <c r="J350" s="447" t="s">
        <v>358</v>
      </c>
      <c r="K350" s="447" t="s">
        <v>2737</v>
      </c>
      <c r="L350" s="447" t="s">
        <v>2738</v>
      </c>
      <c r="M350" s="448">
        <v>44197</v>
      </c>
      <c r="N350" s="448">
        <v>44561</v>
      </c>
      <c r="O350" s="591">
        <f>+R350+U350+X350+AA350+AD350+AG350+AJ350+AM350+AP350+AS350+AV350+AY350</f>
        <v>0.50649999999999995</v>
      </c>
      <c r="P350" s="447">
        <v>1</v>
      </c>
      <c r="Q350" s="591">
        <v>8.3299999999999999E-2</v>
      </c>
      <c r="R350" s="591">
        <v>0.09</v>
      </c>
      <c r="S350" s="447" t="s">
        <v>395</v>
      </c>
      <c r="T350" s="591">
        <v>8.3299999999999999E-2</v>
      </c>
      <c r="U350" s="591">
        <v>8.3299999999999999E-2</v>
      </c>
      <c r="V350" s="591">
        <v>8.3299999999999999E-2</v>
      </c>
      <c r="W350" s="591">
        <v>8.3299999999999999E-2</v>
      </c>
      <c r="X350" s="591">
        <v>8.3299999999999999E-2</v>
      </c>
      <c r="Y350" s="451" t="s">
        <v>2739</v>
      </c>
      <c r="Z350" s="591">
        <v>8.3299999999999999E-2</v>
      </c>
      <c r="AA350" s="591">
        <v>8.3299999999999999E-2</v>
      </c>
      <c r="AB350" s="451" t="s">
        <v>396</v>
      </c>
      <c r="AC350" s="591">
        <v>8.3299999999999999E-2</v>
      </c>
      <c r="AD350" s="591">
        <v>8.3299999999999999E-2</v>
      </c>
      <c r="AE350" s="451" t="s">
        <v>2740</v>
      </c>
      <c r="AF350" s="591">
        <v>8.3299999999999999E-2</v>
      </c>
      <c r="AG350" s="591">
        <v>8.3299999999999999E-2</v>
      </c>
      <c r="AH350" s="566" t="s">
        <v>2741</v>
      </c>
      <c r="AI350" s="591">
        <v>8.3299999999999999E-2</v>
      </c>
      <c r="AJ350" s="591"/>
      <c r="AK350" s="591"/>
      <c r="AL350" s="591">
        <v>8.3299999999999999E-2</v>
      </c>
      <c r="AM350" s="591"/>
      <c r="AN350" s="591"/>
      <c r="AO350" s="591">
        <v>8.3299999999999999E-2</v>
      </c>
      <c r="AP350" s="591"/>
      <c r="AQ350" s="591"/>
      <c r="AR350" s="591">
        <v>8.3299999999999999E-2</v>
      </c>
      <c r="AS350" s="591"/>
      <c r="AT350" s="591"/>
      <c r="AU350" s="591">
        <v>8.3299999999999999E-2</v>
      </c>
      <c r="AV350" s="591"/>
      <c r="AW350" s="591"/>
      <c r="AX350" s="591">
        <v>8.3299999999999999E-2</v>
      </c>
      <c r="AY350" s="449"/>
      <c r="AZ350" s="449"/>
      <c r="BA350" s="453">
        <f>(Q350+T350+W350+Z350+AC350+AF350)/6</f>
        <v>8.3299999999999999E-2</v>
      </c>
      <c r="BB350" s="453">
        <f>(R350+U350+X350+AA350+AD350+AG350)/6</f>
        <v>8.4416666666666654E-2</v>
      </c>
      <c r="BC350" s="454">
        <f>+IF(BA350=0,+IF(BB350=0,"No programación, No avance",+IF(BB350&gt;0,+IF(BA350=0,BB350/P350))),BB350/BA350)</f>
        <v>1.0134053621448578</v>
      </c>
      <c r="BD350" s="2">
        <f>+AVERAGE(BC350:BC351)</f>
        <v>1.106702681072429</v>
      </c>
    </row>
    <row r="351" spans="1:56" s="2" customFormat="1" ht="72" customHeight="1" thickBot="1">
      <c r="A351" s="704"/>
      <c r="B351" s="739"/>
      <c r="C351" s="483" t="s">
        <v>399</v>
      </c>
      <c r="D351" s="483" t="s">
        <v>2743</v>
      </c>
      <c r="E351" s="483" t="s">
        <v>2744</v>
      </c>
      <c r="F351" s="483" t="s">
        <v>380</v>
      </c>
      <c r="G351" s="483">
        <v>1</v>
      </c>
      <c r="H351" s="483" t="s">
        <v>2745</v>
      </c>
      <c r="I351" s="483" t="s">
        <v>79</v>
      </c>
      <c r="J351" s="483" t="s">
        <v>2746</v>
      </c>
      <c r="K351" s="483" t="s">
        <v>2176</v>
      </c>
      <c r="L351" s="483" t="s">
        <v>2738</v>
      </c>
      <c r="M351" s="484">
        <v>44197</v>
      </c>
      <c r="N351" s="484">
        <v>44561</v>
      </c>
      <c r="O351" s="483">
        <f>+R351+U351+X351+AA351+AD351+AG351+AJ351+AM351+AP351+AS351+AV351+AY351</f>
        <v>0.6</v>
      </c>
      <c r="P351" s="483">
        <v>1</v>
      </c>
      <c r="Q351" s="483">
        <v>0</v>
      </c>
      <c r="R351" s="592">
        <v>0.1</v>
      </c>
      <c r="S351" s="483" t="s">
        <v>400</v>
      </c>
      <c r="T351" s="483">
        <v>0</v>
      </c>
      <c r="U351" s="593">
        <v>0.05</v>
      </c>
      <c r="V351" s="483" t="s">
        <v>401</v>
      </c>
      <c r="W351" s="483">
        <v>0</v>
      </c>
      <c r="X351" s="489">
        <v>0.03</v>
      </c>
      <c r="Y351" s="490" t="s">
        <v>2747</v>
      </c>
      <c r="Z351" s="483">
        <v>0</v>
      </c>
      <c r="AA351" s="487">
        <v>0.02</v>
      </c>
      <c r="AB351" s="490" t="s">
        <v>402</v>
      </c>
      <c r="AC351" s="483">
        <v>0.25</v>
      </c>
      <c r="AD351" s="489">
        <v>0.05</v>
      </c>
      <c r="AE351" s="490" t="s">
        <v>2748</v>
      </c>
      <c r="AF351" s="489">
        <v>0.25</v>
      </c>
      <c r="AG351" s="489">
        <v>0.35</v>
      </c>
      <c r="AH351" s="575" t="s">
        <v>2749</v>
      </c>
      <c r="AI351" s="483">
        <v>0</v>
      </c>
      <c r="AJ351" s="483"/>
      <c r="AK351" s="483"/>
      <c r="AL351" s="483">
        <v>0</v>
      </c>
      <c r="AM351" s="483"/>
      <c r="AN351" s="483"/>
      <c r="AO351" s="489">
        <v>0.25</v>
      </c>
      <c r="AP351" s="483"/>
      <c r="AQ351" s="483"/>
      <c r="AR351" s="483">
        <v>0</v>
      </c>
      <c r="AS351" s="483"/>
      <c r="AT351" s="483"/>
      <c r="AU351" s="483">
        <v>0</v>
      </c>
      <c r="AV351" s="483"/>
      <c r="AW351" s="483"/>
      <c r="AX351" s="489">
        <v>0.25</v>
      </c>
      <c r="AY351" s="486"/>
      <c r="AZ351" s="486"/>
      <c r="BA351" s="453">
        <f t="shared" si="14"/>
        <v>0.5</v>
      </c>
      <c r="BB351" s="453">
        <f t="shared" si="15"/>
        <v>0.6</v>
      </c>
      <c r="BC351" s="495">
        <f>+IF(BA351=0,+IF(BB351=0,"No programación, No avance",+IF(BB351&gt;0,+IF(BA351=0,BB351/P351))),BB351/BA351)</f>
        <v>1.2</v>
      </c>
    </row>
    <row r="352" spans="1:56" s="2" customFormat="1" ht="36" customHeight="1">
      <c r="A352" s="700" t="s">
        <v>34</v>
      </c>
      <c r="B352" s="714">
        <v>53.4</v>
      </c>
      <c r="C352" s="705" t="s">
        <v>404</v>
      </c>
      <c r="D352" s="705" t="s">
        <v>405</v>
      </c>
      <c r="E352" s="429" t="s">
        <v>2751</v>
      </c>
      <c r="F352" s="429" t="s">
        <v>472</v>
      </c>
      <c r="G352" s="429">
        <v>0.5</v>
      </c>
      <c r="H352" s="429" t="s">
        <v>406</v>
      </c>
      <c r="I352" s="429" t="s">
        <v>73</v>
      </c>
      <c r="J352" s="429" t="s">
        <v>2752</v>
      </c>
      <c r="K352" s="429" t="s">
        <v>2753</v>
      </c>
      <c r="L352" s="429" t="s">
        <v>2754</v>
      </c>
      <c r="M352" s="430">
        <v>44197</v>
      </c>
      <c r="N352" s="430">
        <v>44561</v>
      </c>
      <c r="O352" s="429">
        <f>+R352+U352+X352+AA352+AD352+AG352+AJ352+AM352+AP352+AS352+AV352+AY352</f>
        <v>28</v>
      </c>
      <c r="P352" s="429">
        <v>52</v>
      </c>
      <c r="Q352" s="429">
        <v>4</v>
      </c>
      <c r="R352" s="429">
        <v>4</v>
      </c>
      <c r="S352" s="429" t="s">
        <v>2755</v>
      </c>
      <c r="T352" s="429">
        <v>4</v>
      </c>
      <c r="U352" s="429">
        <v>8</v>
      </c>
      <c r="V352" s="429" t="s">
        <v>2755</v>
      </c>
      <c r="W352" s="429">
        <v>4</v>
      </c>
      <c r="X352" s="429">
        <v>4</v>
      </c>
      <c r="Y352" s="432" t="s">
        <v>2755</v>
      </c>
      <c r="Z352" s="429">
        <v>4</v>
      </c>
      <c r="AA352" s="429">
        <v>4</v>
      </c>
      <c r="AB352" s="432" t="s">
        <v>2756</v>
      </c>
      <c r="AC352" s="429">
        <v>5</v>
      </c>
      <c r="AD352" s="429">
        <v>4</v>
      </c>
      <c r="AE352" s="432" t="s">
        <v>2757</v>
      </c>
      <c r="AF352" s="429">
        <v>5</v>
      </c>
      <c r="AG352" s="429">
        <v>4</v>
      </c>
      <c r="AH352" s="496" t="s">
        <v>2758</v>
      </c>
      <c r="AI352" s="429">
        <v>5</v>
      </c>
      <c r="AJ352" s="429"/>
      <c r="AK352" s="429"/>
      <c r="AL352" s="429">
        <v>5</v>
      </c>
      <c r="AM352" s="429"/>
      <c r="AN352" s="429"/>
      <c r="AO352" s="429">
        <v>4</v>
      </c>
      <c r="AP352" s="429"/>
      <c r="AQ352" s="429"/>
      <c r="AR352" s="429">
        <v>4</v>
      </c>
      <c r="AS352" s="429"/>
      <c r="AT352" s="429"/>
      <c r="AU352" s="429">
        <v>4</v>
      </c>
      <c r="AV352" s="429"/>
      <c r="AW352" s="429"/>
      <c r="AX352" s="429">
        <v>4</v>
      </c>
      <c r="AY352" s="431"/>
      <c r="AZ352" s="431"/>
      <c r="BA352" s="435">
        <f t="shared" si="14"/>
        <v>26</v>
      </c>
      <c r="BB352" s="435">
        <f t="shared" si="15"/>
        <v>28</v>
      </c>
      <c r="BC352" s="497">
        <f>+IF(BA352=0,+IF(BB352=0,"No programación, No avance",+IF(BB352&gt;0,+IF(BA352=0,BB352/P352))),BB352/BA352)</f>
        <v>1.0769230769230769</v>
      </c>
      <c r="BD352" s="2">
        <f>+AVERAGE(BC352:BC357)</f>
        <v>1.0683760683760684</v>
      </c>
    </row>
    <row r="353" spans="1:56" s="2" customFormat="1" ht="108">
      <c r="A353" s="701"/>
      <c r="B353" s="715"/>
      <c r="C353" s="706"/>
      <c r="D353" s="706"/>
      <c r="E353" s="433" t="s">
        <v>2760</v>
      </c>
      <c r="F353" s="433" t="s">
        <v>472</v>
      </c>
      <c r="G353" s="433">
        <v>0.1</v>
      </c>
      <c r="H353" s="433" t="s">
        <v>406</v>
      </c>
      <c r="I353" s="433" t="s">
        <v>79</v>
      </c>
      <c r="J353" s="433" t="s">
        <v>2761</v>
      </c>
      <c r="K353" s="433" t="s">
        <v>2762</v>
      </c>
      <c r="L353" s="433" t="s">
        <v>2754</v>
      </c>
      <c r="M353" s="434">
        <v>44197</v>
      </c>
      <c r="N353" s="434">
        <v>44561</v>
      </c>
      <c r="O353" s="433">
        <f>+R353+U353+X353+AA353+AD353+AG353+AJ353+AM353+AP353+AS353+AV353+AY353</f>
        <v>0.49800000000000005</v>
      </c>
      <c r="P353" s="433">
        <v>1</v>
      </c>
      <c r="Q353" s="433">
        <v>8.3000000000000004E-2</v>
      </c>
      <c r="R353" s="543">
        <v>8.3000000000000004E-2</v>
      </c>
      <c r="S353" s="433" t="s">
        <v>2763</v>
      </c>
      <c r="T353" s="433">
        <v>8.3000000000000004E-2</v>
      </c>
      <c r="U353" s="438">
        <v>8.3000000000000004E-2</v>
      </c>
      <c r="V353" s="433"/>
      <c r="W353" s="433">
        <v>8.3000000000000004E-2</v>
      </c>
      <c r="X353" s="543">
        <v>8.3000000000000004E-2</v>
      </c>
      <c r="Y353" s="436" t="s">
        <v>2763</v>
      </c>
      <c r="Z353" s="433">
        <v>8.3000000000000004E-2</v>
      </c>
      <c r="AA353" s="543">
        <v>8.3000000000000004E-2</v>
      </c>
      <c r="AB353" s="436" t="s">
        <v>2763</v>
      </c>
      <c r="AC353" s="433">
        <v>8.3000000000000004E-2</v>
      </c>
      <c r="AD353" s="543">
        <v>8.3000000000000004E-2</v>
      </c>
      <c r="AE353" s="436" t="s">
        <v>2763</v>
      </c>
      <c r="AF353" s="433">
        <v>8.3000000000000004E-2</v>
      </c>
      <c r="AG353" s="498" t="s">
        <v>392</v>
      </c>
      <c r="AH353" s="499" t="s">
        <v>2763</v>
      </c>
      <c r="AI353" s="433">
        <v>8.3000000000000004E-2</v>
      </c>
      <c r="AJ353" s="433"/>
      <c r="AK353" s="433"/>
      <c r="AL353" s="433">
        <v>8.3000000000000004E-2</v>
      </c>
      <c r="AM353" s="433"/>
      <c r="AN353" s="433"/>
      <c r="AO353" s="433">
        <v>8.3000000000000004E-2</v>
      </c>
      <c r="AP353" s="433"/>
      <c r="AQ353" s="433"/>
      <c r="AR353" s="433">
        <v>8.3000000000000004E-2</v>
      </c>
      <c r="AS353" s="433"/>
      <c r="AT353" s="433"/>
      <c r="AU353" s="433">
        <v>8.3000000000000004E-2</v>
      </c>
      <c r="AV353" s="433"/>
      <c r="AW353" s="433"/>
      <c r="AX353" s="433">
        <v>8.6999999999999994E-2</v>
      </c>
      <c r="AY353" s="435"/>
      <c r="AZ353" s="435"/>
      <c r="BA353" s="435">
        <f t="shared" si="14"/>
        <v>0.49800000000000005</v>
      </c>
      <c r="BB353" s="435">
        <f t="shared" si="15"/>
        <v>0.49800000000000005</v>
      </c>
      <c r="BC353" s="500">
        <f>+IF(BA353=0,+IF(BB353=0,"No programación, No avance",+IF(BB353&gt;0,+IF(BA353=0,BB353/P353))),BB353/BA353)</f>
        <v>1</v>
      </c>
    </row>
    <row r="354" spans="1:56" s="2" customFormat="1" ht="72">
      <c r="A354" s="701"/>
      <c r="B354" s="715"/>
      <c r="C354" s="706"/>
      <c r="D354" s="706"/>
      <c r="E354" s="433" t="s">
        <v>2765</v>
      </c>
      <c r="F354" s="433" t="s">
        <v>472</v>
      </c>
      <c r="G354" s="433">
        <v>0.1</v>
      </c>
      <c r="H354" s="433" t="s">
        <v>406</v>
      </c>
      <c r="I354" s="433" t="s">
        <v>73</v>
      </c>
      <c r="J354" s="433" t="s">
        <v>2766</v>
      </c>
      <c r="K354" s="433" t="s">
        <v>2767</v>
      </c>
      <c r="L354" s="433" t="s">
        <v>2754</v>
      </c>
      <c r="M354" s="434">
        <v>44197</v>
      </c>
      <c r="N354" s="434">
        <v>44561</v>
      </c>
      <c r="O354" s="433">
        <f>+R354+U354+X354+AA354+AD354+AG354+AJ354+AM354+AP354+AS354+AV354+AY354</f>
        <v>7</v>
      </c>
      <c r="P354" s="433">
        <v>12</v>
      </c>
      <c r="Q354" s="433">
        <v>1</v>
      </c>
      <c r="R354" s="433">
        <v>1</v>
      </c>
      <c r="S354" s="433" t="s">
        <v>2768</v>
      </c>
      <c r="T354" s="433">
        <v>1</v>
      </c>
      <c r="U354" s="433">
        <v>2</v>
      </c>
      <c r="V354" s="433" t="s">
        <v>2769</v>
      </c>
      <c r="W354" s="433">
        <v>1</v>
      </c>
      <c r="X354" s="433">
        <v>1</v>
      </c>
      <c r="Y354" s="436" t="s">
        <v>2770</v>
      </c>
      <c r="Z354" s="433">
        <v>1</v>
      </c>
      <c r="AA354" s="433">
        <v>1</v>
      </c>
      <c r="AB354" s="436" t="s">
        <v>2771</v>
      </c>
      <c r="AC354" s="433">
        <v>1</v>
      </c>
      <c r="AD354" s="433">
        <v>1</v>
      </c>
      <c r="AE354" s="436" t="s">
        <v>2772</v>
      </c>
      <c r="AF354" s="433">
        <v>1</v>
      </c>
      <c r="AG354" s="498">
        <v>1</v>
      </c>
      <c r="AH354" s="499" t="s">
        <v>2773</v>
      </c>
      <c r="AI354" s="433">
        <v>1</v>
      </c>
      <c r="AJ354" s="433"/>
      <c r="AK354" s="433"/>
      <c r="AL354" s="433">
        <v>1</v>
      </c>
      <c r="AM354" s="433"/>
      <c r="AN354" s="433"/>
      <c r="AO354" s="433">
        <v>1</v>
      </c>
      <c r="AP354" s="433"/>
      <c r="AQ354" s="433"/>
      <c r="AR354" s="433">
        <v>1</v>
      </c>
      <c r="AS354" s="433"/>
      <c r="AT354" s="433"/>
      <c r="AU354" s="433">
        <v>1</v>
      </c>
      <c r="AV354" s="433"/>
      <c r="AW354" s="433"/>
      <c r="AX354" s="433">
        <v>1</v>
      </c>
      <c r="AY354" s="435"/>
      <c r="AZ354" s="435"/>
      <c r="BA354" s="435">
        <f t="shared" si="14"/>
        <v>6</v>
      </c>
      <c r="BB354" s="435">
        <f t="shared" si="15"/>
        <v>7</v>
      </c>
      <c r="BC354" s="500">
        <f>+IF(BA354=0,+IF(BB354=0,"No programación, No avance",+IF(BB354&gt;0,+IF(BA354=0,BB354/P354))),BB354/BA354)</f>
        <v>1.1666666666666667</v>
      </c>
    </row>
    <row r="355" spans="1:56" s="2" customFormat="1" ht="108">
      <c r="A355" s="701"/>
      <c r="B355" s="715"/>
      <c r="C355" s="706"/>
      <c r="D355" s="706"/>
      <c r="E355" s="433" t="s">
        <v>2775</v>
      </c>
      <c r="F355" s="433" t="s">
        <v>472</v>
      </c>
      <c r="G355" s="433">
        <v>0.05</v>
      </c>
      <c r="H355" s="433" t="s">
        <v>406</v>
      </c>
      <c r="I355" s="433" t="s">
        <v>73</v>
      </c>
      <c r="J355" s="433" t="s">
        <v>2776</v>
      </c>
      <c r="K355" s="433" t="s">
        <v>2777</v>
      </c>
      <c r="L355" s="433" t="s">
        <v>2754</v>
      </c>
      <c r="M355" s="434">
        <v>44197</v>
      </c>
      <c r="N355" s="434">
        <v>44561</v>
      </c>
      <c r="O355" s="433">
        <f>+R355+U355+X355+AA355+AD355+AG355+AJ355+AM355+AP355+AS355+AV355+AY355</f>
        <v>7</v>
      </c>
      <c r="P355" s="433">
        <v>12</v>
      </c>
      <c r="Q355" s="433">
        <v>1</v>
      </c>
      <c r="R355" s="433">
        <v>1</v>
      </c>
      <c r="S355" s="433" t="s">
        <v>2778</v>
      </c>
      <c r="T355" s="433">
        <v>1</v>
      </c>
      <c r="U355" s="433">
        <v>2</v>
      </c>
      <c r="V355" s="433" t="s">
        <v>2778</v>
      </c>
      <c r="W355" s="433">
        <v>1</v>
      </c>
      <c r="X355" s="433">
        <v>1</v>
      </c>
      <c r="Y355" s="436" t="s">
        <v>2779</v>
      </c>
      <c r="Z355" s="433">
        <v>1</v>
      </c>
      <c r="AA355" s="433">
        <v>1</v>
      </c>
      <c r="AB355" s="436" t="s">
        <v>2779</v>
      </c>
      <c r="AC355" s="433">
        <v>1</v>
      </c>
      <c r="AD355" s="433">
        <v>1</v>
      </c>
      <c r="AE355" s="436" t="s">
        <v>2780</v>
      </c>
      <c r="AF355" s="433">
        <v>1</v>
      </c>
      <c r="AG355" s="498">
        <v>1</v>
      </c>
      <c r="AH355" s="499" t="s">
        <v>2781</v>
      </c>
      <c r="AI355" s="433">
        <v>1</v>
      </c>
      <c r="AJ355" s="433"/>
      <c r="AK355" s="433"/>
      <c r="AL355" s="433">
        <v>1</v>
      </c>
      <c r="AM355" s="433"/>
      <c r="AN355" s="433"/>
      <c r="AO355" s="433">
        <v>1</v>
      </c>
      <c r="AP355" s="433"/>
      <c r="AQ355" s="433"/>
      <c r="AR355" s="433">
        <v>1</v>
      </c>
      <c r="AS355" s="433"/>
      <c r="AT355" s="433"/>
      <c r="AU355" s="433">
        <v>1</v>
      </c>
      <c r="AV355" s="433"/>
      <c r="AW355" s="433"/>
      <c r="AX355" s="433">
        <v>1</v>
      </c>
      <c r="AY355" s="435"/>
      <c r="AZ355" s="435"/>
      <c r="BA355" s="435">
        <f t="shared" si="14"/>
        <v>6</v>
      </c>
      <c r="BB355" s="435">
        <f t="shared" si="15"/>
        <v>7</v>
      </c>
      <c r="BC355" s="500">
        <f>+IF(BA355=0,+IF(BB355=0,"No programación, No avance",+IF(BB355&gt;0,+IF(BA355=0,BB355/P355))),BB355/BA355)</f>
        <v>1.1666666666666667</v>
      </c>
    </row>
    <row r="356" spans="1:56" s="2" customFormat="1" ht="84" customHeight="1">
      <c r="A356" s="701"/>
      <c r="B356" s="715"/>
      <c r="C356" s="706"/>
      <c r="D356" s="706"/>
      <c r="E356" s="433" t="s">
        <v>2783</v>
      </c>
      <c r="F356" s="433" t="s">
        <v>472</v>
      </c>
      <c r="G356" s="433">
        <v>0.17</v>
      </c>
      <c r="H356" s="433" t="s">
        <v>406</v>
      </c>
      <c r="I356" s="433" t="s">
        <v>73</v>
      </c>
      <c r="J356" s="433" t="s">
        <v>2784</v>
      </c>
      <c r="K356" s="433" t="s">
        <v>2785</v>
      </c>
      <c r="L356" s="433" t="s">
        <v>2754</v>
      </c>
      <c r="M356" s="434">
        <v>44197</v>
      </c>
      <c r="N356" s="434">
        <v>44561</v>
      </c>
      <c r="O356" s="433">
        <f>+R356+U356+X356+AA356+AD356+AG356+AJ356+AM356+AP356+AS356+AV356+AY356</f>
        <v>2</v>
      </c>
      <c r="P356" s="433">
        <v>4</v>
      </c>
      <c r="Q356" s="433">
        <v>0</v>
      </c>
      <c r="R356" s="433">
        <v>0</v>
      </c>
      <c r="S356" s="433" t="s">
        <v>2786</v>
      </c>
      <c r="T356" s="433">
        <v>0</v>
      </c>
      <c r="U356" s="433">
        <v>0</v>
      </c>
      <c r="V356" s="433" t="s">
        <v>2786</v>
      </c>
      <c r="W356" s="433">
        <v>1</v>
      </c>
      <c r="X356" s="433">
        <v>1</v>
      </c>
      <c r="Y356" s="436" t="s">
        <v>2787</v>
      </c>
      <c r="Z356" s="433">
        <v>0</v>
      </c>
      <c r="AA356" s="433">
        <v>0</v>
      </c>
      <c r="AB356" s="436" t="s">
        <v>2786</v>
      </c>
      <c r="AC356" s="433">
        <v>0</v>
      </c>
      <c r="AD356" s="433">
        <v>0</v>
      </c>
      <c r="AE356" s="436" t="s">
        <v>2788</v>
      </c>
      <c r="AF356" s="433">
        <v>1</v>
      </c>
      <c r="AG356" s="498">
        <v>1</v>
      </c>
      <c r="AH356" s="586" t="s">
        <v>2789</v>
      </c>
      <c r="AI356" s="433">
        <v>0</v>
      </c>
      <c r="AJ356" s="433"/>
      <c r="AK356" s="433"/>
      <c r="AL356" s="433">
        <v>0</v>
      </c>
      <c r="AM356" s="433"/>
      <c r="AN356" s="433"/>
      <c r="AO356" s="433">
        <v>1</v>
      </c>
      <c r="AP356" s="433"/>
      <c r="AQ356" s="433"/>
      <c r="AR356" s="433">
        <v>0</v>
      </c>
      <c r="AS356" s="433"/>
      <c r="AT356" s="433"/>
      <c r="AU356" s="433">
        <v>0</v>
      </c>
      <c r="AV356" s="433"/>
      <c r="AW356" s="433"/>
      <c r="AX356" s="433">
        <v>1</v>
      </c>
      <c r="AY356" s="435"/>
      <c r="AZ356" s="435"/>
      <c r="BA356" s="435">
        <f t="shared" si="14"/>
        <v>2</v>
      </c>
      <c r="BB356" s="435">
        <f t="shared" si="15"/>
        <v>2</v>
      </c>
      <c r="BC356" s="500">
        <f>+IF(BA356=0,+IF(BB356=0,"No programación, No avance",+IF(BB356&gt;0,+IF(BA356=0,BB356/P356))),BB356/BA356)</f>
        <v>1</v>
      </c>
    </row>
    <row r="357" spans="1:56" s="2" customFormat="1" ht="132.75" customHeight="1" thickBot="1">
      <c r="A357" s="702"/>
      <c r="B357" s="716"/>
      <c r="C357" s="707"/>
      <c r="D357" s="707"/>
      <c r="E357" s="440" t="s">
        <v>2791</v>
      </c>
      <c r="F357" s="440" t="s">
        <v>472</v>
      </c>
      <c r="G357" s="440">
        <v>0.08</v>
      </c>
      <c r="H357" s="440" t="s">
        <v>406</v>
      </c>
      <c r="I357" s="440" t="s">
        <v>73</v>
      </c>
      <c r="J357" s="440" t="s">
        <v>2792</v>
      </c>
      <c r="K357" s="440" t="s">
        <v>1027</v>
      </c>
      <c r="L357" s="440" t="s">
        <v>2754</v>
      </c>
      <c r="M357" s="441">
        <v>44197</v>
      </c>
      <c r="N357" s="441">
        <v>44561</v>
      </c>
      <c r="O357" s="440">
        <f>+R357+U357+X357+AA357+AD357+AG357+AJ357+AM357+AP357+AS357+AV357+AY357</f>
        <v>2</v>
      </c>
      <c r="P357" s="440">
        <v>4</v>
      </c>
      <c r="Q357" s="440">
        <v>0</v>
      </c>
      <c r="R357" s="440">
        <v>0</v>
      </c>
      <c r="S357" s="440" t="s">
        <v>2786</v>
      </c>
      <c r="T357" s="440">
        <v>0</v>
      </c>
      <c r="U357" s="440">
        <v>0</v>
      </c>
      <c r="V357" s="440" t="s">
        <v>2786</v>
      </c>
      <c r="W357" s="440">
        <v>1</v>
      </c>
      <c r="X357" s="440">
        <v>1</v>
      </c>
      <c r="Y357" s="594" t="s">
        <v>2793</v>
      </c>
      <c r="Z357" s="440">
        <v>0</v>
      </c>
      <c r="AA357" s="440">
        <v>0</v>
      </c>
      <c r="AB357" s="444" t="s">
        <v>2786</v>
      </c>
      <c r="AC357" s="440">
        <v>0</v>
      </c>
      <c r="AD357" s="440">
        <v>0</v>
      </c>
      <c r="AE357" s="444" t="s">
        <v>2788</v>
      </c>
      <c r="AF357" s="440">
        <v>1</v>
      </c>
      <c r="AG357" s="595">
        <v>1</v>
      </c>
      <c r="AH357" s="586" t="s">
        <v>2794</v>
      </c>
      <c r="AI357" s="440">
        <v>0</v>
      </c>
      <c r="AJ357" s="440"/>
      <c r="AK357" s="440"/>
      <c r="AL357" s="440">
        <v>0</v>
      </c>
      <c r="AM357" s="440"/>
      <c r="AN357" s="440"/>
      <c r="AO357" s="440">
        <v>1</v>
      </c>
      <c r="AP357" s="440"/>
      <c r="AQ357" s="440"/>
      <c r="AR357" s="440">
        <v>0</v>
      </c>
      <c r="AS357" s="440"/>
      <c r="AT357" s="440"/>
      <c r="AU357" s="440">
        <v>0</v>
      </c>
      <c r="AV357" s="440"/>
      <c r="AW357" s="440"/>
      <c r="AX357" s="440">
        <v>1</v>
      </c>
      <c r="AY357" s="442"/>
      <c r="AZ357" s="442"/>
      <c r="BA357" s="435">
        <f t="shared" si="14"/>
        <v>2</v>
      </c>
      <c r="BB357" s="435">
        <f t="shared" si="15"/>
        <v>2</v>
      </c>
      <c r="BC357" s="507">
        <f>+IF(BA357=0,+IF(BB357=0,"No programación, No avance",+IF(BB357&gt;0,+IF(BA357=0,BB357/P357))),BB357/BA357)</f>
        <v>1</v>
      </c>
    </row>
    <row r="358" spans="1:56" ht="84.75">
      <c r="A358" s="696" t="s">
        <v>19</v>
      </c>
      <c r="B358" s="740">
        <v>57.2</v>
      </c>
      <c r="C358" s="447" t="s">
        <v>230</v>
      </c>
      <c r="D358" s="447" t="s">
        <v>231</v>
      </c>
      <c r="E358" s="447" t="s">
        <v>231</v>
      </c>
      <c r="F358" s="447" t="s">
        <v>472</v>
      </c>
      <c r="G358" s="447">
        <v>0.33</v>
      </c>
      <c r="H358" s="447" t="s">
        <v>2796</v>
      </c>
      <c r="I358" s="447" t="s">
        <v>73</v>
      </c>
      <c r="J358" s="447" t="s">
        <v>232</v>
      </c>
      <c r="K358" s="447" t="s">
        <v>232</v>
      </c>
      <c r="L358" s="447" t="s">
        <v>2797</v>
      </c>
      <c r="M358" s="448">
        <v>44197</v>
      </c>
      <c r="N358" s="448">
        <v>44561</v>
      </c>
      <c r="O358" s="447">
        <f>+R358+U358+X358+AA358+AD358+AG358+AJ358+AM358+AP358+AS358+AV358+AY358</f>
        <v>6</v>
      </c>
      <c r="P358" s="447">
        <v>12</v>
      </c>
      <c r="Q358" s="447">
        <v>1</v>
      </c>
      <c r="R358" s="447">
        <v>1</v>
      </c>
      <c r="S358" s="447" t="s">
        <v>233</v>
      </c>
      <c r="T358" s="447">
        <v>1</v>
      </c>
      <c r="U358" s="447">
        <v>1</v>
      </c>
      <c r="V358" s="447" t="s">
        <v>234</v>
      </c>
      <c r="W358" s="447">
        <v>1</v>
      </c>
      <c r="X358" s="447">
        <v>1</v>
      </c>
      <c r="Y358" s="451" t="s">
        <v>235</v>
      </c>
      <c r="Z358" s="447">
        <v>1</v>
      </c>
      <c r="AA358" s="447">
        <v>1</v>
      </c>
      <c r="AB358" s="451" t="s">
        <v>236</v>
      </c>
      <c r="AC358" s="447">
        <v>1</v>
      </c>
      <c r="AD358" s="447">
        <v>1</v>
      </c>
      <c r="AE358" s="451" t="s">
        <v>2798</v>
      </c>
      <c r="AF358" s="447">
        <v>1</v>
      </c>
      <c r="AG358" s="447">
        <v>1</v>
      </c>
      <c r="AH358" s="540" t="s">
        <v>2799</v>
      </c>
      <c r="AI358" s="449">
        <v>1</v>
      </c>
      <c r="AJ358" s="449"/>
      <c r="AK358" s="449"/>
      <c r="AL358" s="449">
        <v>1</v>
      </c>
      <c r="AM358" s="449"/>
      <c r="AN358" s="449"/>
      <c r="AO358" s="449">
        <v>1</v>
      </c>
      <c r="AP358" s="449"/>
      <c r="AQ358" s="449"/>
      <c r="AR358" s="449">
        <v>1</v>
      </c>
      <c r="AS358" s="449"/>
      <c r="AT358" s="449"/>
      <c r="AU358" s="449">
        <v>1</v>
      </c>
      <c r="AV358" s="449"/>
      <c r="AW358" s="449"/>
      <c r="AX358" s="449">
        <v>1</v>
      </c>
      <c r="AY358" s="596"/>
      <c r="AZ358" s="596"/>
      <c r="BA358" s="453">
        <f t="shared" si="14"/>
        <v>6</v>
      </c>
      <c r="BB358" s="453">
        <f t="shared" si="15"/>
        <v>6</v>
      </c>
      <c r="BC358" s="454">
        <f>+IF(BA358=0,+IF(BB358=0,"No programación, No avance",+IF(BB358&gt;0,+IF(BA358=0,BB358/P358))),BB358/BA358)</f>
        <v>1</v>
      </c>
      <c r="BD358" s="5">
        <f>+AVERAGE(BC358:BC360)</f>
        <v>1.0476190476190477</v>
      </c>
    </row>
    <row r="359" spans="1:56" ht="204.75">
      <c r="A359" s="697"/>
      <c r="B359" s="741"/>
      <c r="C359" s="455" t="s">
        <v>230</v>
      </c>
      <c r="D359" s="455" t="s">
        <v>238</v>
      </c>
      <c r="E359" s="455" t="s">
        <v>2801</v>
      </c>
      <c r="F359" s="455" t="s">
        <v>472</v>
      </c>
      <c r="G359" s="455">
        <v>0.33</v>
      </c>
      <c r="H359" s="455" t="s">
        <v>2796</v>
      </c>
      <c r="I359" s="455" t="s">
        <v>73</v>
      </c>
      <c r="J359" s="455" t="s">
        <v>232</v>
      </c>
      <c r="K359" s="455" t="s">
        <v>232</v>
      </c>
      <c r="L359" s="455" t="s">
        <v>2797</v>
      </c>
      <c r="M359" s="456">
        <v>44197</v>
      </c>
      <c r="N359" s="456">
        <v>44561</v>
      </c>
      <c r="O359" s="455">
        <f>+R359+U359+X359+AA359+AD359+AG359+AJ359+AM359+AP359+AS359+AV359+AY359</f>
        <v>5</v>
      </c>
      <c r="P359" s="455">
        <v>12</v>
      </c>
      <c r="Q359" s="455">
        <v>0</v>
      </c>
      <c r="R359" s="455">
        <v>0</v>
      </c>
      <c r="S359" s="455" t="s">
        <v>239</v>
      </c>
      <c r="T359" s="455">
        <v>1</v>
      </c>
      <c r="U359" s="455">
        <v>1</v>
      </c>
      <c r="V359" s="455" t="s">
        <v>240</v>
      </c>
      <c r="W359" s="455">
        <v>1</v>
      </c>
      <c r="X359" s="455">
        <v>1</v>
      </c>
      <c r="Y359" s="457" t="s">
        <v>241</v>
      </c>
      <c r="Z359" s="455">
        <v>1</v>
      </c>
      <c r="AA359" s="455">
        <v>1</v>
      </c>
      <c r="AB359" s="457" t="s">
        <v>242</v>
      </c>
      <c r="AC359" s="455">
        <v>1</v>
      </c>
      <c r="AD359" s="455">
        <v>1</v>
      </c>
      <c r="AE359" s="457" t="s">
        <v>2802</v>
      </c>
      <c r="AF359" s="455">
        <v>1</v>
      </c>
      <c r="AG359" s="458">
        <v>1</v>
      </c>
      <c r="AH359" s="460" t="s">
        <v>2803</v>
      </c>
      <c r="AI359" s="453">
        <v>1</v>
      </c>
      <c r="AJ359" s="453"/>
      <c r="AK359" s="453"/>
      <c r="AL359" s="453">
        <v>1</v>
      </c>
      <c r="AM359" s="453"/>
      <c r="AN359" s="453"/>
      <c r="AO359" s="453">
        <v>1</v>
      </c>
      <c r="AP359" s="453"/>
      <c r="AQ359" s="453"/>
      <c r="AR359" s="453">
        <v>1</v>
      </c>
      <c r="AS359" s="453"/>
      <c r="AT359" s="453"/>
      <c r="AU359" s="453">
        <v>1</v>
      </c>
      <c r="AV359" s="453"/>
      <c r="AW359" s="453"/>
      <c r="AX359" s="453">
        <v>1</v>
      </c>
      <c r="AY359" s="597"/>
      <c r="AZ359" s="597"/>
      <c r="BA359" s="453">
        <f t="shared" si="14"/>
        <v>5</v>
      </c>
      <c r="BB359" s="453">
        <f t="shared" si="15"/>
        <v>5</v>
      </c>
      <c r="BC359" s="459">
        <f>+IF(BA359=0,+IF(BB359=0,"No programación, No avance",+IF(BB359&gt;0,+IF(BA359=0,BB359/P359))),BB359/BA359)</f>
        <v>1</v>
      </c>
      <c r="BD359"/>
    </row>
    <row r="360" spans="1:56" ht="120.75" thickBot="1">
      <c r="A360" s="698"/>
      <c r="B360" s="742"/>
      <c r="C360" s="483" t="s">
        <v>230</v>
      </c>
      <c r="D360" s="483" t="s">
        <v>244</v>
      </c>
      <c r="E360" s="483" t="s">
        <v>244</v>
      </c>
      <c r="F360" s="483" t="s">
        <v>472</v>
      </c>
      <c r="G360" s="483">
        <v>0.34</v>
      </c>
      <c r="H360" s="483" t="s">
        <v>2796</v>
      </c>
      <c r="I360" s="483" t="s">
        <v>79</v>
      </c>
      <c r="J360" s="483" t="s">
        <v>78</v>
      </c>
      <c r="K360" s="483" t="s">
        <v>2805</v>
      </c>
      <c r="L360" s="483" t="s">
        <v>2797</v>
      </c>
      <c r="M360" s="484">
        <v>44197</v>
      </c>
      <c r="N360" s="484">
        <v>44561</v>
      </c>
      <c r="O360" s="483">
        <f>+R360+U360+X360+AA360+AD360+AG360+AJ360+AM360+AP360+AS360+AV360+AY360</f>
        <v>0.79999999999999993</v>
      </c>
      <c r="P360" s="483">
        <v>1</v>
      </c>
      <c r="Q360" s="483">
        <v>0</v>
      </c>
      <c r="R360" s="489">
        <v>0</v>
      </c>
      <c r="S360" s="483" t="s">
        <v>245</v>
      </c>
      <c r="T360" s="483">
        <v>0.2</v>
      </c>
      <c r="U360" s="489">
        <v>0.2</v>
      </c>
      <c r="V360" s="483" t="s">
        <v>246</v>
      </c>
      <c r="W360" s="483">
        <v>0</v>
      </c>
      <c r="X360" s="487">
        <v>0</v>
      </c>
      <c r="Y360" s="490" t="s">
        <v>247</v>
      </c>
      <c r="Z360" s="483">
        <v>0</v>
      </c>
      <c r="AA360" s="487">
        <v>0</v>
      </c>
      <c r="AB360" s="490" t="s">
        <v>248</v>
      </c>
      <c r="AC360" s="483">
        <v>0.5</v>
      </c>
      <c r="AD360" s="489">
        <v>0.5</v>
      </c>
      <c r="AE360" s="490" t="s">
        <v>2806</v>
      </c>
      <c r="AF360" s="483">
        <v>0</v>
      </c>
      <c r="AG360" s="536">
        <v>0.1</v>
      </c>
      <c r="AH360" s="542" t="s">
        <v>2807</v>
      </c>
      <c r="AI360" s="486">
        <v>0</v>
      </c>
      <c r="AJ360" s="486"/>
      <c r="AK360" s="486"/>
      <c r="AL360" s="486">
        <v>0</v>
      </c>
      <c r="AM360" s="486"/>
      <c r="AN360" s="486"/>
      <c r="AO360" s="486">
        <v>0</v>
      </c>
      <c r="AP360" s="486"/>
      <c r="AQ360" s="486"/>
      <c r="AR360" s="486">
        <v>0</v>
      </c>
      <c r="AS360" s="486"/>
      <c r="AT360" s="486"/>
      <c r="AU360" s="486">
        <v>0</v>
      </c>
      <c r="AV360" s="486"/>
      <c r="AW360" s="486"/>
      <c r="AX360" s="486">
        <v>1</v>
      </c>
      <c r="AY360" s="598"/>
      <c r="AZ360" s="598"/>
      <c r="BA360" s="453">
        <f t="shared" si="14"/>
        <v>0.7</v>
      </c>
      <c r="BB360" s="453">
        <f t="shared" si="15"/>
        <v>0.79999999999999993</v>
      </c>
      <c r="BC360" s="495">
        <f>+IF(BA360=0,+IF(BB360=0,"No programación, No avance",+IF(BB360&gt;0,+IF(BA360=0,BB360/P360))),BB360/BA360)</f>
        <v>1.1428571428571428</v>
      </c>
      <c r="BD360"/>
    </row>
    <row r="361" spans="1:56" ht="96">
      <c r="A361" s="693" t="s">
        <v>35</v>
      </c>
      <c r="B361" s="743">
        <v>26.9</v>
      </c>
      <c r="C361" s="429" t="s">
        <v>408</v>
      </c>
      <c r="D361" s="429" t="s">
        <v>409</v>
      </c>
      <c r="E361" s="429" t="s">
        <v>409</v>
      </c>
      <c r="F361" s="429" t="s">
        <v>472</v>
      </c>
      <c r="G361" s="429">
        <v>1</v>
      </c>
      <c r="H361" s="429" t="s">
        <v>2809</v>
      </c>
      <c r="I361" s="599" t="s">
        <v>79</v>
      </c>
      <c r="J361" s="599" t="s">
        <v>78</v>
      </c>
      <c r="K361" s="429" t="s">
        <v>2810</v>
      </c>
      <c r="L361" s="429" t="s">
        <v>2811</v>
      </c>
      <c r="M361" s="430">
        <v>44197</v>
      </c>
      <c r="N361" s="430">
        <v>44561</v>
      </c>
      <c r="O361" s="429">
        <f>+R361+U361+X361+AA361+AD361+AG361+AJ361+AM361+AP361+AS361+AV361+AY361</f>
        <v>0.49988999999999995</v>
      </c>
      <c r="P361" s="530">
        <v>1</v>
      </c>
      <c r="Q361" s="600">
        <v>8.3330000000000001E-2</v>
      </c>
      <c r="R361" s="600">
        <v>8.3330000000000001E-2</v>
      </c>
      <c r="S361" s="429" t="s">
        <v>2873</v>
      </c>
      <c r="T361" s="600">
        <v>8.3330000000000001E-2</v>
      </c>
      <c r="U361" s="529">
        <v>8.3330000000000001E-2</v>
      </c>
      <c r="V361" s="429" t="s">
        <v>2874</v>
      </c>
      <c r="W361" s="600">
        <v>8.3330000000000001E-2</v>
      </c>
      <c r="X361" s="529">
        <v>8.3330000000000001E-2</v>
      </c>
      <c r="Y361" s="429" t="s">
        <v>2875</v>
      </c>
      <c r="Z361" s="429">
        <v>8.3330000000000001E-2</v>
      </c>
      <c r="AA361" s="601">
        <v>8.3299999999999999E-2</v>
      </c>
      <c r="AB361" s="432" t="s">
        <v>410</v>
      </c>
      <c r="AC361" s="429">
        <v>8.3330000000000001E-2</v>
      </c>
      <c r="AD361" s="601">
        <v>8.3299999999999999E-2</v>
      </c>
      <c r="AE361" s="429" t="s">
        <v>2876</v>
      </c>
      <c r="AF361" s="429">
        <v>8.3330000000000001E-2</v>
      </c>
      <c r="AG361" s="433" t="s">
        <v>413</v>
      </c>
      <c r="AH361" s="562" t="s">
        <v>2812</v>
      </c>
      <c r="AI361" s="602">
        <v>8.3330000000000001E-2</v>
      </c>
      <c r="AJ361" s="602"/>
      <c r="AK361" s="602"/>
      <c r="AL361" s="602">
        <v>8.3330000000000001E-2</v>
      </c>
      <c r="AM361" s="602"/>
      <c r="AN361" s="602"/>
      <c r="AO361" s="602">
        <v>8.3330000000000001E-2</v>
      </c>
      <c r="AP361" s="602"/>
      <c r="AQ361" s="602"/>
      <c r="AR361" s="602">
        <v>8.3330000000000001E-2</v>
      </c>
      <c r="AS361" s="602"/>
      <c r="AT361" s="602"/>
      <c r="AU361" s="602">
        <v>8.3330000000000001E-2</v>
      </c>
      <c r="AV361" s="602"/>
      <c r="AW361" s="602"/>
      <c r="AX361" s="602">
        <v>8.3330000000000001E-2</v>
      </c>
      <c r="AY361" s="602"/>
      <c r="AZ361" s="602"/>
      <c r="BA361" s="435">
        <f t="shared" si="14"/>
        <v>0.49998000000000004</v>
      </c>
      <c r="BB361" s="435">
        <f t="shared" si="15"/>
        <v>0.49988999999999995</v>
      </c>
      <c r="BC361" s="497">
        <f>+IF(BA361=0,+IF(BB361=0,"No programación, No avance",+IF(BB361&gt;0,+IF(BA361=0,BB361/P361))),BB361/BA361)</f>
        <v>0.99981999279971179</v>
      </c>
      <c r="BD361" s="5">
        <f>+AVERAGE(BC361:BC373)</f>
        <v>49.301494625549786</v>
      </c>
    </row>
    <row r="362" spans="1:56" ht="108">
      <c r="A362" s="694"/>
      <c r="B362" s="744"/>
      <c r="C362" s="433" t="s">
        <v>408</v>
      </c>
      <c r="D362" s="433" t="s">
        <v>412</v>
      </c>
      <c r="E362" s="433" t="s">
        <v>412</v>
      </c>
      <c r="F362" s="433" t="s">
        <v>472</v>
      </c>
      <c r="G362" s="433">
        <v>1</v>
      </c>
      <c r="H362" s="433" t="s">
        <v>2809</v>
      </c>
      <c r="I362" s="603" t="s">
        <v>79</v>
      </c>
      <c r="J362" s="603" t="s">
        <v>78</v>
      </c>
      <c r="K362" s="433" t="s">
        <v>1580</v>
      </c>
      <c r="L362" s="433" t="s">
        <v>2811</v>
      </c>
      <c r="M362" s="434">
        <v>44197</v>
      </c>
      <c r="N362" s="434">
        <v>44561</v>
      </c>
      <c r="O362" s="433">
        <f>+R362+U362+X362+AA362+AD362+AG362+AJ362+AM362+AP362+AS362+AV362+AY362</f>
        <v>0.49988999999999995</v>
      </c>
      <c r="P362" s="604">
        <v>1</v>
      </c>
      <c r="Q362" s="605">
        <v>8.3330000000000001E-2</v>
      </c>
      <c r="R362" s="605">
        <v>8.3330000000000001E-2</v>
      </c>
      <c r="S362" s="433" t="s">
        <v>2877</v>
      </c>
      <c r="T362" s="605">
        <v>8.3330000000000001E-2</v>
      </c>
      <c r="U362" s="438">
        <v>8.3330000000000001E-2</v>
      </c>
      <c r="V362" s="433" t="s">
        <v>2878</v>
      </c>
      <c r="W362" s="605">
        <v>8.3330000000000001E-2</v>
      </c>
      <c r="X362" s="438">
        <v>8.3330000000000001E-2</v>
      </c>
      <c r="Y362" s="433" t="s">
        <v>2879</v>
      </c>
      <c r="Z362" s="433">
        <v>8.3330000000000001E-2</v>
      </c>
      <c r="AA362" s="543">
        <v>8.3299999999999999E-2</v>
      </c>
      <c r="AB362" s="436" t="s">
        <v>414</v>
      </c>
      <c r="AC362" s="433">
        <v>8.3330000000000001E-2</v>
      </c>
      <c r="AD362" s="543">
        <v>8.3299999999999999E-2</v>
      </c>
      <c r="AE362" s="433" t="s">
        <v>2880</v>
      </c>
      <c r="AF362" s="433">
        <v>8.3330000000000001E-2</v>
      </c>
      <c r="AG362" s="498" t="s">
        <v>413</v>
      </c>
      <c r="AH362" s="499" t="s">
        <v>2814</v>
      </c>
      <c r="AI362" s="606">
        <v>8.3330000000000001E-2</v>
      </c>
      <c r="AJ362" s="606"/>
      <c r="AK362" s="606"/>
      <c r="AL362" s="606">
        <v>8.3330000000000001E-2</v>
      </c>
      <c r="AM362" s="606"/>
      <c r="AN362" s="606"/>
      <c r="AO362" s="606">
        <v>8.3330000000000001E-2</v>
      </c>
      <c r="AP362" s="606"/>
      <c r="AQ362" s="606"/>
      <c r="AR362" s="606">
        <v>8.3330000000000001E-2</v>
      </c>
      <c r="AS362" s="606"/>
      <c r="AT362" s="606"/>
      <c r="AU362" s="606">
        <v>8.3330000000000001E-2</v>
      </c>
      <c r="AV362" s="606"/>
      <c r="AW362" s="606"/>
      <c r="AX362" s="606">
        <v>8.3330000000000001E-2</v>
      </c>
      <c r="AY362" s="606"/>
      <c r="AZ362" s="606"/>
      <c r="BA362" s="435">
        <f t="shared" si="14"/>
        <v>0.49998000000000004</v>
      </c>
      <c r="BB362" s="435">
        <f t="shared" si="15"/>
        <v>0.49988999999999995</v>
      </c>
      <c r="BC362" s="500">
        <f>+IF(BA362=0,+IF(BB362=0,"No programación, No avance",+IF(BB362&gt;0,+IF(BA362=0,BB362/P362))),BB362/BA362)</f>
        <v>0.99981999279971179</v>
      </c>
      <c r="BD362"/>
    </row>
    <row r="363" spans="1:56" ht="96">
      <c r="A363" s="694"/>
      <c r="B363" s="744"/>
      <c r="C363" s="433" t="s">
        <v>408</v>
      </c>
      <c r="D363" s="433" t="s">
        <v>416</v>
      </c>
      <c r="E363" s="433" t="s">
        <v>416</v>
      </c>
      <c r="F363" s="433" t="s">
        <v>472</v>
      </c>
      <c r="G363" s="433">
        <v>1</v>
      </c>
      <c r="H363" s="433" t="s">
        <v>2809</v>
      </c>
      <c r="I363" s="603" t="s">
        <v>79</v>
      </c>
      <c r="J363" s="603" t="s">
        <v>78</v>
      </c>
      <c r="K363" s="433" t="s">
        <v>1580</v>
      </c>
      <c r="L363" s="433" t="s">
        <v>2811</v>
      </c>
      <c r="M363" s="434">
        <v>44197</v>
      </c>
      <c r="N363" s="434">
        <v>44561</v>
      </c>
      <c r="O363" s="433">
        <f>+R363+U363+X363+AA363+AD363+AG363+AJ363+AM363+AP363+AS363+AV363+AY363</f>
        <v>0.49982999999999994</v>
      </c>
      <c r="P363" s="604">
        <v>1</v>
      </c>
      <c r="Q363" s="605">
        <v>8.3299999999999999E-2</v>
      </c>
      <c r="R363" s="605">
        <v>8.3330000000000001E-2</v>
      </c>
      <c r="S363" s="433" t="s">
        <v>2881</v>
      </c>
      <c r="T363" s="605">
        <v>8.3299999999999999E-2</v>
      </c>
      <c r="U363" s="438">
        <v>8.3299999999999999E-2</v>
      </c>
      <c r="V363" s="433" t="s">
        <v>2882</v>
      </c>
      <c r="W363" s="605">
        <v>8.3299999999999999E-2</v>
      </c>
      <c r="X363" s="438">
        <v>8.3299999999999999E-2</v>
      </c>
      <c r="Y363" s="433" t="s">
        <v>2883</v>
      </c>
      <c r="Z363" s="433">
        <v>8.3299999999999999E-2</v>
      </c>
      <c r="AA363" s="543">
        <v>8.3299999999999999E-2</v>
      </c>
      <c r="AB363" s="436" t="s">
        <v>417</v>
      </c>
      <c r="AC363" s="433">
        <v>8.3299999999999999E-2</v>
      </c>
      <c r="AD363" s="543">
        <v>8.3299999999999999E-2</v>
      </c>
      <c r="AE363" s="433" t="s">
        <v>2884</v>
      </c>
      <c r="AF363" s="433">
        <v>8.3299999999999999E-2</v>
      </c>
      <c r="AG363" s="498" t="s">
        <v>413</v>
      </c>
      <c r="AH363" s="499" t="s">
        <v>2816</v>
      </c>
      <c r="AI363" s="606">
        <v>8.3299999999999999E-2</v>
      </c>
      <c r="AJ363" s="606"/>
      <c r="AK363" s="606"/>
      <c r="AL363" s="606">
        <v>8.3299999999999999E-2</v>
      </c>
      <c r="AM363" s="606"/>
      <c r="AN363" s="606"/>
      <c r="AO363" s="606">
        <v>8.3299999999999999E-2</v>
      </c>
      <c r="AP363" s="606"/>
      <c r="AQ363" s="606"/>
      <c r="AR363" s="606">
        <v>8.3299999999999999E-2</v>
      </c>
      <c r="AS363" s="606"/>
      <c r="AT363" s="606"/>
      <c r="AU363" s="606">
        <v>8.3299999999999999E-2</v>
      </c>
      <c r="AV363" s="606"/>
      <c r="AW363" s="606"/>
      <c r="AX363" s="606">
        <v>8.3299999999999999E-2</v>
      </c>
      <c r="AY363" s="606"/>
      <c r="AZ363" s="606">
        <v>8.3299999999999999E-2</v>
      </c>
      <c r="BA363" s="435">
        <f t="shared" si="14"/>
        <v>0.49979999999999997</v>
      </c>
      <c r="BB363" s="435">
        <f t="shared" si="15"/>
        <v>0.49982999999999994</v>
      </c>
      <c r="BC363" s="500">
        <f>+IF(BA363=0,+IF(BB363=0,"No programación, No avance",+IF(BB363&gt;0,+IF(BA363=0,BB363/P363))),BB363/BA363)</f>
        <v>1.0000600240096038</v>
      </c>
      <c r="BD363"/>
    </row>
    <row r="364" spans="1:56" ht="84.75">
      <c r="A364" s="694"/>
      <c r="B364" s="744"/>
      <c r="C364" s="433" t="s">
        <v>419</v>
      </c>
      <c r="D364" s="433" t="s">
        <v>420</v>
      </c>
      <c r="E364" s="433" t="s">
        <v>420</v>
      </c>
      <c r="F364" s="433" t="s">
        <v>472</v>
      </c>
      <c r="G364" s="433">
        <v>1</v>
      </c>
      <c r="H364" s="433" t="s">
        <v>2809</v>
      </c>
      <c r="I364" s="603" t="s">
        <v>79</v>
      </c>
      <c r="J364" s="603" t="s">
        <v>78</v>
      </c>
      <c r="K364" s="433" t="s">
        <v>2805</v>
      </c>
      <c r="L364" s="433" t="s">
        <v>2811</v>
      </c>
      <c r="M364" s="434">
        <v>44197</v>
      </c>
      <c r="N364" s="434">
        <v>44561</v>
      </c>
      <c r="O364" s="433">
        <f>+R364+U364+X364+AA364+AD364+AG364+AJ364+AM364+AP364+AS364+AV364+AY364</f>
        <v>0.42903000000000002</v>
      </c>
      <c r="P364" s="437">
        <v>1</v>
      </c>
      <c r="Q364" s="605">
        <v>8.3330000000000001E-2</v>
      </c>
      <c r="R364" s="605">
        <v>5.6000000000000001E-2</v>
      </c>
      <c r="S364" s="433" t="s">
        <v>2818</v>
      </c>
      <c r="T364" s="605">
        <v>8.3330000000000001E-2</v>
      </c>
      <c r="U364" s="438">
        <v>7.2999999999999995E-2</v>
      </c>
      <c r="V364" s="433" t="s">
        <v>2819</v>
      </c>
      <c r="W364" s="605">
        <v>8.3330000000000001E-2</v>
      </c>
      <c r="X364" s="438">
        <v>8.3330000000000001E-2</v>
      </c>
      <c r="Y364" s="433" t="s">
        <v>2820</v>
      </c>
      <c r="Z364" s="433">
        <v>8.3330000000000001E-2</v>
      </c>
      <c r="AA364" s="607">
        <v>6.7000000000000004E-2</v>
      </c>
      <c r="AB364" s="436" t="s">
        <v>421</v>
      </c>
      <c r="AC364" s="433">
        <v>8.3330000000000001E-2</v>
      </c>
      <c r="AD364" s="543">
        <v>8.3299999999999999E-2</v>
      </c>
      <c r="AE364" s="433" t="s">
        <v>2821</v>
      </c>
      <c r="AF364" s="433">
        <v>8.3330000000000001E-2</v>
      </c>
      <c r="AG364" s="498" t="s">
        <v>2822</v>
      </c>
      <c r="AH364" s="499" t="s">
        <v>2823</v>
      </c>
      <c r="AI364" s="606">
        <v>8.3330000000000001E-2</v>
      </c>
      <c r="AJ364" s="606"/>
      <c r="AK364" s="606"/>
      <c r="AL364" s="606">
        <v>8.3330000000000001E-2</v>
      </c>
      <c r="AM364" s="606"/>
      <c r="AN364" s="606"/>
      <c r="AO364" s="606">
        <v>8.3330000000000001E-2</v>
      </c>
      <c r="AP364" s="606"/>
      <c r="AQ364" s="606"/>
      <c r="AR364" s="606">
        <v>8.3330000000000001E-2</v>
      </c>
      <c r="AS364" s="606"/>
      <c r="AT364" s="606"/>
      <c r="AU364" s="606">
        <v>8.3330000000000001E-2</v>
      </c>
      <c r="AV364" s="606"/>
      <c r="AW364" s="606"/>
      <c r="AX364" s="606">
        <v>8.3330000000000001E-2</v>
      </c>
      <c r="AY364" s="606"/>
      <c r="AZ364" s="606"/>
      <c r="BA364" s="435">
        <f t="shared" si="14"/>
        <v>0.49998000000000004</v>
      </c>
      <c r="BB364" s="435">
        <f t="shared" si="15"/>
        <v>0.42903000000000002</v>
      </c>
      <c r="BC364" s="500">
        <f>+IF(BA364=0,+IF(BB364=0,"No programación, No avance",+IF(BB364&gt;0,+IF(BA364=0,BB364/P364))),BB364/BA364)</f>
        <v>0.85809432377295092</v>
      </c>
      <c r="BD364"/>
    </row>
    <row r="365" spans="1:56" ht="108">
      <c r="A365" s="694"/>
      <c r="B365" s="744"/>
      <c r="C365" s="433" t="s">
        <v>423</v>
      </c>
      <c r="D365" s="433" t="s">
        <v>424</v>
      </c>
      <c r="E365" s="433" t="s">
        <v>424</v>
      </c>
      <c r="F365" s="433" t="s">
        <v>472</v>
      </c>
      <c r="G365" s="433">
        <v>1</v>
      </c>
      <c r="H365" s="433" t="s">
        <v>2809</v>
      </c>
      <c r="I365" s="603" t="s">
        <v>73</v>
      </c>
      <c r="J365" s="603" t="s">
        <v>72</v>
      </c>
      <c r="K365" s="433" t="s">
        <v>2825</v>
      </c>
      <c r="L365" s="433" t="s">
        <v>2811</v>
      </c>
      <c r="M365" s="434">
        <v>44197</v>
      </c>
      <c r="N365" s="434">
        <v>44561</v>
      </c>
      <c r="O365" s="433">
        <f>+R365+U365+X365+AA365+AD365+AG365+AJ365+AM365+AP365+AS365+AV365+AY365</f>
        <v>0</v>
      </c>
      <c r="P365" s="606">
        <v>1</v>
      </c>
      <c r="Q365" s="605">
        <v>0</v>
      </c>
      <c r="R365" s="605">
        <v>0</v>
      </c>
      <c r="S365" s="433" t="s">
        <v>425</v>
      </c>
      <c r="T365" s="605">
        <v>0</v>
      </c>
      <c r="U365" s="433">
        <v>0</v>
      </c>
      <c r="V365" s="433" t="s">
        <v>425</v>
      </c>
      <c r="W365" s="605">
        <v>0</v>
      </c>
      <c r="X365" s="433">
        <v>0</v>
      </c>
      <c r="Y365" s="433" t="s">
        <v>425</v>
      </c>
      <c r="Z365" s="433">
        <v>0</v>
      </c>
      <c r="AA365" s="433">
        <v>0</v>
      </c>
      <c r="AB365" s="436" t="s">
        <v>425</v>
      </c>
      <c r="AC365" s="433">
        <v>0</v>
      </c>
      <c r="AD365" s="543">
        <v>0</v>
      </c>
      <c r="AE365" s="433" t="s">
        <v>2826</v>
      </c>
      <c r="AF365" s="433">
        <v>1</v>
      </c>
      <c r="AG365" s="608" t="s">
        <v>364</v>
      </c>
      <c r="AH365" s="499" t="s">
        <v>2826</v>
      </c>
      <c r="AI365" s="606">
        <v>0</v>
      </c>
      <c r="AJ365" s="606"/>
      <c r="AK365" s="606"/>
      <c r="AL365" s="606">
        <v>0</v>
      </c>
      <c r="AM365" s="606"/>
      <c r="AN365" s="606"/>
      <c r="AO365" s="606">
        <v>0</v>
      </c>
      <c r="AP365" s="606"/>
      <c r="AQ365" s="606"/>
      <c r="AR365" s="606">
        <v>0</v>
      </c>
      <c r="AS365" s="606"/>
      <c r="AT365" s="606"/>
      <c r="AU365" s="606">
        <v>0</v>
      </c>
      <c r="AV365" s="606"/>
      <c r="AW365" s="606"/>
      <c r="AX365" s="606">
        <v>0</v>
      </c>
      <c r="AY365" s="606"/>
      <c r="AZ365" s="606" t="s">
        <v>426</v>
      </c>
      <c r="BA365" s="435">
        <f t="shared" si="14"/>
        <v>1</v>
      </c>
      <c r="BB365" s="435">
        <f t="shared" si="15"/>
        <v>0</v>
      </c>
      <c r="BC365" s="500">
        <f>+IF(BA365=0,+IF(BB365=0,"No programación, No avance",+IF(BB365&gt;0,+IF(BA365=0,BB365/P365))),BB365/BA365)</f>
        <v>0</v>
      </c>
      <c r="BD365"/>
    </row>
    <row r="366" spans="1:56" ht="96.75">
      <c r="A366" s="694"/>
      <c r="B366" s="744"/>
      <c r="C366" s="433" t="s">
        <v>428</v>
      </c>
      <c r="D366" s="433" t="s">
        <v>429</v>
      </c>
      <c r="E366" s="433" t="s">
        <v>429</v>
      </c>
      <c r="F366" s="433" t="s">
        <v>472</v>
      </c>
      <c r="G366" s="433">
        <v>1</v>
      </c>
      <c r="H366" s="433" t="s">
        <v>2809</v>
      </c>
      <c r="I366" s="603" t="s">
        <v>79</v>
      </c>
      <c r="J366" s="603" t="s">
        <v>78</v>
      </c>
      <c r="K366" s="433" t="s">
        <v>2828</v>
      </c>
      <c r="L366" s="433" t="s">
        <v>2811</v>
      </c>
      <c r="M366" s="434">
        <v>44197</v>
      </c>
      <c r="N366" s="434">
        <v>44561</v>
      </c>
      <c r="O366" s="433">
        <f>+R366+U366+X366+AA366+AD366+AG366+AJ366+AM366+AP366+AS366+AV366+AY366</f>
        <v>317.40922999999998</v>
      </c>
      <c r="P366" s="604">
        <v>1</v>
      </c>
      <c r="Q366" s="605">
        <v>8.3330000000000001E-2</v>
      </c>
      <c r="R366" s="539">
        <v>8.3299999999999999E-2</v>
      </c>
      <c r="S366" s="433" t="s">
        <v>2829</v>
      </c>
      <c r="T366" s="605">
        <v>8.3330000000000001E-2</v>
      </c>
      <c r="U366" s="433">
        <v>8.3299999999999999E-2</v>
      </c>
      <c r="V366" s="433" t="s">
        <v>2830</v>
      </c>
      <c r="W366" s="605">
        <v>8.3330000000000001E-2</v>
      </c>
      <c r="X366" s="433">
        <v>8.3299999999999999E-2</v>
      </c>
      <c r="Y366" s="433" t="s">
        <v>2831</v>
      </c>
      <c r="Z366" s="433">
        <v>8.3330000000000001E-2</v>
      </c>
      <c r="AA366" s="543">
        <v>8.3330000000000001E-2</v>
      </c>
      <c r="AB366" s="436" t="s">
        <v>430</v>
      </c>
      <c r="AC366" s="433">
        <v>8.3330000000000001E-2</v>
      </c>
      <c r="AD366" s="433">
        <v>7.5999999999999998E-2</v>
      </c>
      <c r="AE366" s="433" t="s">
        <v>2832</v>
      </c>
      <c r="AF366" s="433">
        <v>8.3330000000000001E-2</v>
      </c>
      <c r="AG366" s="498">
        <v>317</v>
      </c>
      <c r="AH366" s="499" t="s">
        <v>2833</v>
      </c>
      <c r="AI366" s="606">
        <v>8.3330000000000001E-2</v>
      </c>
      <c r="AJ366" s="606"/>
      <c r="AK366" s="606"/>
      <c r="AL366" s="606">
        <v>8.3330000000000001E-2</v>
      </c>
      <c r="AM366" s="606"/>
      <c r="AN366" s="606"/>
      <c r="AO366" s="606">
        <v>8.3330000000000001E-2</v>
      </c>
      <c r="AP366" s="606"/>
      <c r="AQ366" s="606"/>
      <c r="AR366" s="606">
        <v>8.3330000000000001E-2</v>
      </c>
      <c r="AS366" s="606"/>
      <c r="AT366" s="606"/>
      <c r="AU366" s="606">
        <v>8.3330000000000001E-2</v>
      </c>
      <c r="AV366" s="606"/>
      <c r="AW366" s="606"/>
      <c r="AX366" s="606">
        <v>8.3330000000000001E-2</v>
      </c>
      <c r="AY366" s="606"/>
      <c r="AZ366" s="606"/>
      <c r="BA366" s="435">
        <f t="shared" si="14"/>
        <v>0.49998000000000004</v>
      </c>
      <c r="BB366" s="435">
        <f t="shared" si="15"/>
        <v>317.40922999999998</v>
      </c>
      <c r="BC366" s="500">
        <f>+IF(BA366=0,+IF(BB366=0,"No programación, No avance",+IF(BB366&gt;0,+IF(BA366=0,BB366/P366))),BB366/BA366)</f>
        <v>634.84385375415013</v>
      </c>
      <c r="BD366"/>
    </row>
    <row r="367" spans="1:56" ht="120">
      <c r="A367" s="694"/>
      <c r="B367" s="744"/>
      <c r="C367" s="433" t="s">
        <v>432</v>
      </c>
      <c r="D367" s="433" t="s">
        <v>433</v>
      </c>
      <c r="E367" s="433" t="s">
        <v>433</v>
      </c>
      <c r="F367" s="433" t="s">
        <v>472</v>
      </c>
      <c r="G367" s="433">
        <v>1</v>
      </c>
      <c r="H367" s="433" t="s">
        <v>2809</v>
      </c>
      <c r="I367" s="603" t="s">
        <v>79</v>
      </c>
      <c r="J367" s="603" t="s">
        <v>78</v>
      </c>
      <c r="K367" s="433" t="s">
        <v>433</v>
      </c>
      <c r="L367" s="433" t="s">
        <v>2811</v>
      </c>
      <c r="M367" s="434">
        <v>44197</v>
      </c>
      <c r="N367" s="434">
        <v>44561</v>
      </c>
      <c r="O367" s="433">
        <f>+R367+U367+X367+AA367+AD367+AG367+AJ367+AM367+AP367+AS367+AV367+AY367</f>
        <v>0.49776000000000009</v>
      </c>
      <c r="P367" s="604">
        <v>1</v>
      </c>
      <c r="Q367" s="605">
        <v>8.3330000000000001E-2</v>
      </c>
      <c r="R367" s="605">
        <v>8.3330000000000001E-2</v>
      </c>
      <c r="S367" s="433" t="s">
        <v>2835</v>
      </c>
      <c r="T367" s="605">
        <v>8.3330000000000001E-2</v>
      </c>
      <c r="U367" s="438">
        <v>8.3299999999999999E-2</v>
      </c>
      <c r="V367" s="433" t="s">
        <v>2836</v>
      </c>
      <c r="W367" s="605">
        <v>8.3330000000000001E-2</v>
      </c>
      <c r="X367" s="438">
        <v>8.3299999999999999E-2</v>
      </c>
      <c r="Y367" s="433" t="s">
        <v>2837</v>
      </c>
      <c r="Z367" s="433">
        <v>8.3330000000000001E-2</v>
      </c>
      <c r="AA367" s="543">
        <v>8.3330000000000001E-2</v>
      </c>
      <c r="AB367" s="436" t="s">
        <v>434</v>
      </c>
      <c r="AC367" s="433">
        <v>8.3330000000000001E-2</v>
      </c>
      <c r="AD367" s="543">
        <f>100%-92.1%</f>
        <v>7.900000000000007E-2</v>
      </c>
      <c r="AE367" s="433" t="s">
        <v>2838</v>
      </c>
      <c r="AF367" s="433">
        <v>8.3330000000000001E-2</v>
      </c>
      <c r="AG367" s="608" t="s">
        <v>2839</v>
      </c>
      <c r="AH367" s="499" t="s">
        <v>2840</v>
      </c>
      <c r="AI367" s="606">
        <v>8.3330000000000001E-2</v>
      </c>
      <c r="AJ367" s="606"/>
      <c r="AK367" s="606"/>
      <c r="AL367" s="606">
        <v>8.3330000000000001E-2</v>
      </c>
      <c r="AM367" s="606"/>
      <c r="AN367" s="606"/>
      <c r="AO367" s="606">
        <v>8.3330000000000001E-2</v>
      </c>
      <c r="AP367" s="606"/>
      <c r="AQ367" s="606"/>
      <c r="AR367" s="606">
        <v>8.3330000000000001E-2</v>
      </c>
      <c r="AS367" s="606"/>
      <c r="AT367" s="606"/>
      <c r="AU367" s="606">
        <v>8.3330000000000001E-2</v>
      </c>
      <c r="AV367" s="606"/>
      <c r="AW367" s="606"/>
      <c r="AX367" s="606">
        <v>8.3330000000000001E-2</v>
      </c>
      <c r="AY367" s="606"/>
      <c r="AZ367" s="606"/>
      <c r="BA367" s="435">
        <f t="shared" si="14"/>
        <v>0.49998000000000004</v>
      </c>
      <c r="BB367" s="435">
        <f t="shared" si="15"/>
        <v>0.49776000000000009</v>
      </c>
      <c r="BC367" s="500">
        <f>+IF(BA367=0,+IF(BB367=0,"No programación, No avance",+IF(BB367&gt;0,+IF(BA367=0,BB367/P367))),BB367/BA367)</f>
        <v>0.99555982239289587</v>
      </c>
      <c r="BD367"/>
    </row>
    <row r="368" spans="1:56" ht="84">
      <c r="A368" s="694"/>
      <c r="B368" s="744"/>
      <c r="C368" s="433" t="s">
        <v>428</v>
      </c>
      <c r="D368" s="433" t="s">
        <v>436</v>
      </c>
      <c r="E368" s="433" t="s">
        <v>436</v>
      </c>
      <c r="F368" s="433" t="s">
        <v>472</v>
      </c>
      <c r="G368" s="433">
        <v>1</v>
      </c>
      <c r="H368" s="433" t="s">
        <v>2809</v>
      </c>
      <c r="I368" s="603" t="s">
        <v>73</v>
      </c>
      <c r="J368" s="603" t="s">
        <v>72</v>
      </c>
      <c r="K368" s="433" t="s">
        <v>2842</v>
      </c>
      <c r="L368" s="433" t="s">
        <v>2811</v>
      </c>
      <c r="M368" s="434">
        <v>44197</v>
      </c>
      <c r="N368" s="434">
        <v>44561</v>
      </c>
      <c r="O368" s="433">
        <f>+R368+U368+X368+AA368+AD368+AG368+AJ368+AM368+AP368+AS368+AV368+AY368</f>
        <v>0</v>
      </c>
      <c r="P368" s="606">
        <v>1</v>
      </c>
      <c r="Q368" s="605">
        <v>0</v>
      </c>
      <c r="R368" s="605">
        <v>0</v>
      </c>
      <c r="S368" s="433" t="s">
        <v>425</v>
      </c>
      <c r="T368" s="605">
        <v>0</v>
      </c>
      <c r="U368" s="433">
        <v>0</v>
      </c>
      <c r="V368" s="433" t="s">
        <v>425</v>
      </c>
      <c r="W368" s="605">
        <v>0</v>
      </c>
      <c r="X368" s="433">
        <v>0</v>
      </c>
      <c r="Y368" s="433" t="s">
        <v>425</v>
      </c>
      <c r="Z368" s="433">
        <v>0</v>
      </c>
      <c r="AA368" s="433">
        <v>0</v>
      </c>
      <c r="AB368" s="436" t="s">
        <v>425</v>
      </c>
      <c r="AC368" s="433">
        <v>0</v>
      </c>
      <c r="AD368" s="433">
        <v>0</v>
      </c>
      <c r="AE368" s="433" t="s">
        <v>2826</v>
      </c>
      <c r="AF368" s="433">
        <v>1</v>
      </c>
      <c r="AG368" s="498">
        <v>0</v>
      </c>
      <c r="AH368" s="499" t="s">
        <v>2826</v>
      </c>
      <c r="AI368" s="606">
        <v>0</v>
      </c>
      <c r="AJ368" s="606"/>
      <c r="AK368" s="606"/>
      <c r="AL368" s="606">
        <v>0</v>
      </c>
      <c r="AM368" s="606"/>
      <c r="AN368" s="606"/>
      <c r="AO368" s="606">
        <v>0</v>
      </c>
      <c r="AP368" s="606"/>
      <c r="AQ368" s="606"/>
      <c r="AR368" s="606">
        <v>0</v>
      </c>
      <c r="AS368" s="606"/>
      <c r="AT368" s="606"/>
      <c r="AU368" s="606">
        <v>0</v>
      </c>
      <c r="AV368" s="606"/>
      <c r="AW368" s="606"/>
      <c r="AX368" s="606">
        <v>0</v>
      </c>
      <c r="AY368" s="606"/>
      <c r="AZ368" s="606" t="s">
        <v>426</v>
      </c>
      <c r="BA368" s="435">
        <f t="shared" si="14"/>
        <v>1</v>
      </c>
      <c r="BB368" s="435">
        <f t="shared" si="15"/>
        <v>0</v>
      </c>
      <c r="BC368" s="500">
        <f>+IF(BA368=0,+IF(BB368=0,"No programación, No avance",+IF(BB368&gt;0,+IF(BA368=0,BB368/P368))),BB368/BA368)</f>
        <v>0</v>
      </c>
    </row>
    <row r="369" spans="1:55" ht="60">
      <c r="A369" s="694"/>
      <c r="B369" s="744"/>
      <c r="C369" s="433" t="s">
        <v>438</v>
      </c>
      <c r="D369" s="433" t="s">
        <v>438</v>
      </c>
      <c r="E369" s="433" t="s">
        <v>438</v>
      </c>
      <c r="F369" s="433" t="s">
        <v>472</v>
      </c>
      <c r="G369" s="433">
        <v>1</v>
      </c>
      <c r="H369" s="433" t="s">
        <v>2809</v>
      </c>
      <c r="I369" s="603" t="s">
        <v>73</v>
      </c>
      <c r="J369" s="603" t="s">
        <v>72</v>
      </c>
      <c r="K369" s="433" t="s">
        <v>2844</v>
      </c>
      <c r="L369" s="433" t="s">
        <v>2811</v>
      </c>
      <c r="M369" s="434">
        <v>44197</v>
      </c>
      <c r="N369" s="434">
        <v>44561</v>
      </c>
      <c r="O369" s="433">
        <f>+R369+U369+X369+AA369+AD369+AG369+AJ369+AM369+AP369+AS369+AV369+AY369</f>
        <v>0</v>
      </c>
      <c r="P369" s="606">
        <v>11</v>
      </c>
      <c r="Q369" s="605">
        <v>0</v>
      </c>
      <c r="R369" s="605">
        <v>0</v>
      </c>
      <c r="S369" s="433" t="s">
        <v>439</v>
      </c>
      <c r="T369" s="605">
        <v>0</v>
      </c>
      <c r="U369" s="433">
        <v>0</v>
      </c>
      <c r="V369" s="433" t="s">
        <v>439</v>
      </c>
      <c r="W369" s="605">
        <v>0</v>
      </c>
      <c r="X369" s="433">
        <v>0</v>
      </c>
      <c r="Y369" s="433" t="s">
        <v>439</v>
      </c>
      <c r="Z369" s="433">
        <v>0</v>
      </c>
      <c r="AA369" s="433">
        <v>0</v>
      </c>
      <c r="AB369" s="436" t="s">
        <v>439</v>
      </c>
      <c r="AC369" s="433">
        <v>0</v>
      </c>
      <c r="AD369" s="433">
        <v>0</v>
      </c>
      <c r="AE369" s="433" t="s">
        <v>2826</v>
      </c>
      <c r="AF369" s="433">
        <v>5</v>
      </c>
      <c r="AG369" s="498">
        <v>0</v>
      </c>
      <c r="AH369" s="499" t="s">
        <v>2826</v>
      </c>
      <c r="AI369" s="606">
        <v>0</v>
      </c>
      <c r="AJ369" s="606"/>
      <c r="AK369" s="606"/>
      <c r="AL369" s="606">
        <v>0</v>
      </c>
      <c r="AM369" s="606"/>
      <c r="AN369" s="606"/>
      <c r="AO369" s="606">
        <v>1</v>
      </c>
      <c r="AP369" s="606"/>
      <c r="AQ369" s="606"/>
      <c r="AR369" s="606">
        <v>0</v>
      </c>
      <c r="AS369" s="606"/>
      <c r="AT369" s="606"/>
      <c r="AU369" s="606">
        <v>5</v>
      </c>
      <c r="AV369" s="606"/>
      <c r="AW369" s="606"/>
      <c r="AX369" s="606">
        <v>0</v>
      </c>
      <c r="AY369" s="606"/>
      <c r="AZ369" s="606" t="s">
        <v>426</v>
      </c>
      <c r="BA369" s="435">
        <f t="shared" si="14"/>
        <v>5</v>
      </c>
      <c r="BB369" s="435">
        <f t="shared" si="15"/>
        <v>0</v>
      </c>
      <c r="BC369" s="500">
        <f>+IF(BA369=0,+IF(BB369=0,"No programación, No avance",+IF(BB369&gt;0,+IF(BA369=0,BB369/P369))),BB369/BA369)</f>
        <v>0</v>
      </c>
    </row>
    <row r="370" spans="1:55" ht="60">
      <c r="A370" s="694"/>
      <c r="B370" s="744"/>
      <c r="C370" s="433" t="s">
        <v>438</v>
      </c>
      <c r="D370" s="433" t="s">
        <v>441</v>
      </c>
      <c r="E370" s="433" t="s">
        <v>441</v>
      </c>
      <c r="F370" s="433" t="s">
        <v>472</v>
      </c>
      <c r="G370" s="433">
        <v>1</v>
      </c>
      <c r="H370" s="433" t="s">
        <v>2809</v>
      </c>
      <c r="I370" s="603" t="s">
        <v>73</v>
      </c>
      <c r="J370" s="603" t="s">
        <v>72</v>
      </c>
      <c r="K370" s="433" t="s">
        <v>2844</v>
      </c>
      <c r="L370" s="433" t="s">
        <v>2811</v>
      </c>
      <c r="M370" s="434">
        <v>44197</v>
      </c>
      <c r="N370" s="434">
        <v>44561</v>
      </c>
      <c r="O370" s="433">
        <f>+R370+U370+X370+AA370+AD370+AG370+AJ370+AM370+AP370+AS370+AV370+AY370</f>
        <v>2</v>
      </c>
      <c r="P370" s="606">
        <v>4</v>
      </c>
      <c r="Q370" s="605">
        <v>0</v>
      </c>
      <c r="R370" s="605">
        <v>0</v>
      </c>
      <c r="S370" s="433" t="s">
        <v>442</v>
      </c>
      <c r="T370" s="605">
        <v>0</v>
      </c>
      <c r="U370" s="433">
        <v>0</v>
      </c>
      <c r="V370" s="433" t="s">
        <v>442</v>
      </c>
      <c r="W370" s="605">
        <v>1</v>
      </c>
      <c r="X370" s="433">
        <v>0</v>
      </c>
      <c r="Y370" s="433" t="s">
        <v>442</v>
      </c>
      <c r="Z370" s="433">
        <v>0</v>
      </c>
      <c r="AA370" s="433">
        <v>0</v>
      </c>
      <c r="AB370" s="436" t="s">
        <v>442</v>
      </c>
      <c r="AC370" s="433">
        <v>0</v>
      </c>
      <c r="AD370" s="433">
        <v>0</v>
      </c>
      <c r="AE370" s="433" t="s">
        <v>2846</v>
      </c>
      <c r="AF370" s="433">
        <v>1</v>
      </c>
      <c r="AG370" s="498">
        <v>2</v>
      </c>
      <c r="AH370" s="499" t="s">
        <v>2846</v>
      </c>
      <c r="AI370" s="606">
        <v>0</v>
      </c>
      <c r="AJ370" s="606"/>
      <c r="AK370" s="606"/>
      <c r="AL370" s="606">
        <v>0</v>
      </c>
      <c r="AM370" s="606"/>
      <c r="AN370" s="606"/>
      <c r="AO370" s="606">
        <v>1</v>
      </c>
      <c r="AP370" s="606"/>
      <c r="AQ370" s="606"/>
      <c r="AR370" s="606">
        <v>0</v>
      </c>
      <c r="AS370" s="606"/>
      <c r="AT370" s="606"/>
      <c r="AU370" s="606">
        <v>1</v>
      </c>
      <c r="AV370" s="606"/>
      <c r="AW370" s="606"/>
      <c r="AX370" s="606">
        <v>0</v>
      </c>
      <c r="AY370" s="606"/>
      <c r="AZ370" s="606"/>
      <c r="BA370" s="435">
        <f t="shared" si="14"/>
        <v>2</v>
      </c>
      <c r="BB370" s="435">
        <f t="shared" si="15"/>
        <v>2</v>
      </c>
      <c r="BC370" s="500">
        <f>+IF(BA370=0,+IF(BB370=0,"No programación, No avance",+IF(BB370&gt;0,+IF(BA370=0,BB370/P370))),BB370/BA370)</f>
        <v>1</v>
      </c>
    </row>
    <row r="371" spans="1:55" ht="96">
      <c r="A371" s="694"/>
      <c r="B371" s="744"/>
      <c r="C371" s="433" t="s">
        <v>444</v>
      </c>
      <c r="D371" s="433" t="s">
        <v>445</v>
      </c>
      <c r="E371" s="433" t="s">
        <v>445</v>
      </c>
      <c r="F371" s="433" t="s">
        <v>472</v>
      </c>
      <c r="G371" s="433">
        <v>1</v>
      </c>
      <c r="H371" s="433" t="s">
        <v>2809</v>
      </c>
      <c r="I371" s="603" t="s">
        <v>73</v>
      </c>
      <c r="J371" s="603" t="s">
        <v>72</v>
      </c>
      <c r="K371" s="433" t="s">
        <v>2848</v>
      </c>
      <c r="L371" s="433" t="s">
        <v>2811</v>
      </c>
      <c r="M371" s="434">
        <v>44197</v>
      </c>
      <c r="N371" s="434">
        <v>44561</v>
      </c>
      <c r="O371" s="433">
        <f>+R371+U371+X371+AA371+AD371+AG371+AJ371+AM371+AP371+AS371+AV371+AY371</f>
        <v>2</v>
      </c>
      <c r="P371" s="606">
        <v>15</v>
      </c>
      <c r="Q371" s="605">
        <v>0</v>
      </c>
      <c r="R371" s="605">
        <v>0</v>
      </c>
      <c r="S371" s="433" t="s">
        <v>2846</v>
      </c>
      <c r="T371" s="605">
        <v>0</v>
      </c>
      <c r="U371" s="433">
        <v>0</v>
      </c>
      <c r="V371" s="433" t="s">
        <v>2846</v>
      </c>
      <c r="W371" s="605">
        <v>2</v>
      </c>
      <c r="X371" s="433">
        <v>2</v>
      </c>
      <c r="Y371" s="433" t="s">
        <v>2849</v>
      </c>
      <c r="Z371" s="433">
        <v>0</v>
      </c>
      <c r="AA371" s="433">
        <v>0</v>
      </c>
      <c r="AB371" s="436" t="s">
        <v>446</v>
      </c>
      <c r="AC371" s="433">
        <v>0</v>
      </c>
      <c r="AD371" s="433">
        <v>0</v>
      </c>
      <c r="AE371" s="433" t="s">
        <v>2826</v>
      </c>
      <c r="AF371" s="433">
        <v>7</v>
      </c>
      <c r="AG371" s="498">
        <v>0</v>
      </c>
      <c r="AH371" s="609" t="s">
        <v>2826</v>
      </c>
      <c r="AI371" s="606">
        <v>0</v>
      </c>
      <c r="AJ371" s="606"/>
      <c r="AK371" s="606"/>
      <c r="AL371" s="606">
        <v>0</v>
      </c>
      <c r="AM371" s="606"/>
      <c r="AN371" s="606"/>
      <c r="AO371" s="606">
        <v>0</v>
      </c>
      <c r="AP371" s="606"/>
      <c r="AQ371" s="606"/>
      <c r="AR371" s="606">
        <v>0</v>
      </c>
      <c r="AS371" s="606"/>
      <c r="AT371" s="606"/>
      <c r="AU371" s="606">
        <v>8</v>
      </c>
      <c r="AV371" s="606"/>
      <c r="AW371" s="606"/>
      <c r="AX371" s="606">
        <v>0</v>
      </c>
      <c r="AY371" s="606"/>
      <c r="AZ371" s="606" t="s">
        <v>426</v>
      </c>
      <c r="BA371" s="435">
        <f t="shared" si="14"/>
        <v>9</v>
      </c>
      <c r="BB371" s="435">
        <f t="shared" si="15"/>
        <v>2</v>
      </c>
      <c r="BC371" s="500">
        <f>+IF(BA371=0,+IF(BB371=0,"No programación, No avance",+IF(BB371&gt;0,+IF(BA371=0,BB371/P371))),BB371/BA371)</f>
        <v>0.22222222222222221</v>
      </c>
    </row>
    <row r="372" spans="1:55" ht="72">
      <c r="A372" s="694"/>
      <c r="B372" s="744"/>
      <c r="C372" s="433" t="s">
        <v>448</v>
      </c>
      <c r="D372" s="433" t="s">
        <v>448</v>
      </c>
      <c r="E372" s="433" t="s">
        <v>448</v>
      </c>
      <c r="F372" s="433" t="s">
        <v>472</v>
      </c>
      <c r="G372" s="433">
        <v>1</v>
      </c>
      <c r="H372" s="433" t="s">
        <v>2809</v>
      </c>
      <c r="I372" s="603" t="s">
        <v>79</v>
      </c>
      <c r="J372" s="603" t="s">
        <v>78</v>
      </c>
      <c r="K372" s="433" t="s">
        <v>2851</v>
      </c>
      <c r="L372" s="433" t="s">
        <v>2811</v>
      </c>
      <c r="M372" s="434">
        <v>44197</v>
      </c>
      <c r="N372" s="434">
        <v>44561</v>
      </c>
      <c r="O372" s="433">
        <f>+R372+U372+X372+AA372+AD372+AG372+AJ372+AM372+AP372+AS372+AV372+AY372</f>
        <v>0</v>
      </c>
      <c r="P372" s="604">
        <v>1</v>
      </c>
      <c r="Q372" s="605">
        <v>0</v>
      </c>
      <c r="R372" s="610">
        <v>0</v>
      </c>
      <c r="S372" s="433" t="s">
        <v>2852</v>
      </c>
      <c r="T372" s="605">
        <v>0</v>
      </c>
      <c r="U372" s="438">
        <v>0</v>
      </c>
      <c r="V372" s="433" t="s">
        <v>2852</v>
      </c>
      <c r="W372" s="605">
        <v>1</v>
      </c>
      <c r="X372" s="438">
        <v>0</v>
      </c>
      <c r="Y372" s="433" t="s">
        <v>449</v>
      </c>
      <c r="Z372" s="433">
        <v>0</v>
      </c>
      <c r="AA372" s="438">
        <v>0</v>
      </c>
      <c r="AB372" s="436" t="s">
        <v>449</v>
      </c>
      <c r="AC372" s="433">
        <v>0</v>
      </c>
      <c r="AD372" s="439">
        <v>0</v>
      </c>
      <c r="AE372" s="433" t="s">
        <v>2853</v>
      </c>
      <c r="AF372" s="433">
        <v>0</v>
      </c>
      <c r="AG372" s="498">
        <v>0</v>
      </c>
      <c r="AH372" s="562" t="s">
        <v>2853</v>
      </c>
      <c r="AI372" s="606">
        <v>0</v>
      </c>
      <c r="AJ372" s="606"/>
      <c r="AK372" s="606"/>
      <c r="AL372" s="606">
        <v>0</v>
      </c>
      <c r="AM372" s="606"/>
      <c r="AN372" s="606"/>
      <c r="AO372" s="606">
        <v>0</v>
      </c>
      <c r="AP372" s="606"/>
      <c r="AQ372" s="606"/>
      <c r="AR372" s="606">
        <v>0</v>
      </c>
      <c r="AS372" s="606"/>
      <c r="AT372" s="606"/>
      <c r="AU372" s="606">
        <v>0</v>
      </c>
      <c r="AV372" s="606"/>
      <c r="AW372" s="606"/>
      <c r="AX372" s="606">
        <v>0</v>
      </c>
      <c r="AY372" s="606"/>
      <c r="AZ372" s="606"/>
      <c r="BA372" s="435">
        <f t="shared" si="14"/>
        <v>1</v>
      </c>
      <c r="BB372" s="435">
        <f t="shared" si="15"/>
        <v>0</v>
      </c>
      <c r="BC372" s="500">
        <f>+IF(BA372=0,+IF(BB372=0,"No programación, No avance",+IF(BB372&gt;0,+IF(BA372=0,BB372/P372))),BB372/BA372)</f>
        <v>0</v>
      </c>
    </row>
    <row r="373" spans="1:55" ht="96.75" thickBot="1">
      <c r="A373" s="695"/>
      <c r="B373" s="745"/>
      <c r="C373" s="611" t="s">
        <v>451</v>
      </c>
      <c r="D373" s="611" t="s">
        <v>452</v>
      </c>
      <c r="E373" s="611" t="s">
        <v>452</v>
      </c>
      <c r="F373" s="611" t="s">
        <v>472</v>
      </c>
      <c r="G373" s="611">
        <v>1</v>
      </c>
      <c r="H373" s="611" t="s">
        <v>2809</v>
      </c>
      <c r="I373" s="612" t="s">
        <v>73</v>
      </c>
      <c r="J373" s="612" t="s">
        <v>72</v>
      </c>
      <c r="K373" s="611" t="s">
        <v>2855</v>
      </c>
      <c r="L373" s="611" t="s">
        <v>2811</v>
      </c>
      <c r="M373" s="613">
        <v>44197</v>
      </c>
      <c r="N373" s="613">
        <v>44561</v>
      </c>
      <c r="O373" s="611">
        <f>+R373+U373+X373+AA373+AD373+AG373+AJ373+AM373+AP373+AS373+AV373+AY373</f>
        <v>0</v>
      </c>
      <c r="P373" s="614">
        <v>1</v>
      </c>
      <c r="Q373" s="615">
        <v>0</v>
      </c>
      <c r="R373" s="615">
        <v>0</v>
      </c>
      <c r="S373" s="611" t="s">
        <v>425</v>
      </c>
      <c r="T373" s="615">
        <v>0</v>
      </c>
      <c r="U373" s="611">
        <v>0</v>
      </c>
      <c r="V373" s="611" t="s">
        <v>425</v>
      </c>
      <c r="W373" s="615">
        <v>0</v>
      </c>
      <c r="X373" s="611">
        <v>0</v>
      </c>
      <c r="Y373" s="611" t="s">
        <v>425</v>
      </c>
      <c r="Z373" s="611">
        <v>0</v>
      </c>
      <c r="AA373" s="611">
        <v>0</v>
      </c>
      <c r="AB373" s="616" t="s">
        <v>425</v>
      </c>
      <c r="AC373" s="611">
        <v>0</v>
      </c>
      <c r="AD373" s="611">
        <v>0</v>
      </c>
      <c r="AE373" s="611" t="s">
        <v>2853</v>
      </c>
      <c r="AF373" s="611">
        <v>1</v>
      </c>
      <c r="AG373" s="498">
        <v>0</v>
      </c>
      <c r="AH373" s="499" t="s">
        <v>2853</v>
      </c>
      <c r="AI373" s="614">
        <v>0</v>
      </c>
      <c r="AJ373" s="614"/>
      <c r="AK373" s="614"/>
      <c r="AL373" s="614">
        <v>0</v>
      </c>
      <c r="AM373" s="614"/>
      <c r="AN373" s="614"/>
      <c r="AO373" s="614">
        <v>0</v>
      </c>
      <c r="AP373" s="614"/>
      <c r="AQ373" s="614"/>
      <c r="AR373" s="614">
        <v>0</v>
      </c>
      <c r="AS373" s="614"/>
      <c r="AT373" s="614"/>
      <c r="AU373" s="614">
        <v>0</v>
      </c>
      <c r="AV373" s="614"/>
      <c r="AW373" s="614"/>
      <c r="AX373" s="614">
        <v>0</v>
      </c>
      <c r="AY373" s="614"/>
      <c r="AZ373" s="614" t="s">
        <v>426</v>
      </c>
      <c r="BA373" s="435">
        <f t="shared" si="14"/>
        <v>1</v>
      </c>
      <c r="BB373" s="435">
        <f t="shared" si="15"/>
        <v>0</v>
      </c>
      <c r="BC373" s="617">
        <f>+IF(BA373=0,+IF(BB373=0,"No programación, No avance",+IF(BB373&gt;0,+IF(BA373=0,BB373/P373))),BB373/BA373)</f>
        <v>0</v>
      </c>
    </row>
  </sheetData>
  <mergeCells count="223">
    <mergeCell ref="B350:B351"/>
    <mergeCell ref="B352:B357"/>
    <mergeCell ref="B358:B360"/>
    <mergeCell ref="B361:B373"/>
    <mergeCell ref="A2:AH2"/>
    <mergeCell ref="B260:B290"/>
    <mergeCell ref="B291:B297"/>
    <mergeCell ref="B298:B316"/>
    <mergeCell ref="B317:B318"/>
    <mergeCell ref="B319:B329"/>
    <mergeCell ref="B330:B333"/>
    <mergeCell ref="B334:B341"/>
    <mergeCell ref="B342:B349"/>
    <mergeCell ref="B17:B44"/>
    <mergeCell ref="B45:B102"/>
    <mergeCell ref="B103:B138"/>
    <mergeCell ref="B139:B184"/>
    <mergeCell ref="B185:B202"/>
    <mergeCell ref="B203:B204"/>
    <mergeCell ref="B205:B211"/>
    <mergeCell ref="B212:B213"/>
    <mergeCell ref="B214:B222"/>
    <mergeCell ref="C281:C284"/>
    <mergeCell ref="C286:C288"/>
    <mergeCell ref="C289:C290"/>
    <mergeCell ref="C262:C267"/>
    <mergeCell ref="C268:C270"/>
    <mergeCell ref="C271:C274"/>
    <mergeCell ref="D347:D348"/>
    <mergeCell ref="D319:D321"/>
    <mergeCell ref="D322:D324"/>
    <mergeCell ref="D325:D327"/>
    <mergeCell ref="D328:D329"/>
    <mergeCell ref="D330:D333"/>
    <mergeCell ref="D334:D341"/>
    <mergeCell ref="D278:D280"/>
    <mergeCell ref="D281:D284"/>
    <mergeCell ref="D289:D290"/>
    <mergeCell ref="D291:D297"/>
    <mergeCell ref="D286:D288"/>
    <mergeCell ref="C325:C327"/>
    <mergeCell ref="C328:C329"/>
    <mergeCell ref="C330:C333"/>
    <mergeCell ref="D342:D343"/>
    <mergeCell ref="C317:C318"/>
    <mergeCell ref="C298:C299"/>
    <mergeCell ref="D317:D318"/>
    <mergeCell ref="D298:D299"/>
    <mergeCell ref="A3:D5"/>
    <mergeCell ref="Q4:AZ4"/>
    <mergeCell ref="Q5:S5"/>
    <mergeCell ref="AI5:AK5"/>
    <mergeCell ref="AX5:AZ5"/>
    <mergeCell ref="AL5:AN5"/>
    <mergeCell ref="AO5:AQ5"/>
    <mergeCell ref="AR5:AT5"/>
    <mergeCell ref="AU5:AW5"/>
    <mergeCell ref="T5:V5"/>
    <mergeCell ref="W5:Y5"/>
    <mergeCell ref="Z5:AB5"/>
    <mergeCell ref="AC5:AE5"/>
    <mergeCell ref="AF5:AH5"/>
    <mergeCell ref="O4:O6"/>
    <mergeCell ref="F4:F6"/>
    <mergeCell ref="E4:E6"/>
    <mergeCell ref="G4:G6"/>
    <mergeCell ref="H4:H6"/>
    <mergeCell ref="P4:P6"/>
    <mergeCell ref="K5:K6"/>
    <mergeCell ref="D36:D39"/>
    <mergeCell ref="A17:A44"/>
    <mergeCell ref="C43:C44"/>
    <mergeCell ref="D43:D44"/>
    <mergeCell ref="I4:I6"/>
    <mergeCell ref="J4:J6"/>
    <mergeCell ref="K4:L4"/>
    <mergeCell ref="M4:N4"/>
    <mergeCell ref="C22:C24"/>
    <mergeCell ref="C25:C30"/>
    <mergeCell ref="C31:C35"/>
    <mergeCell ref="C36:C39"/>
    <mergeCell ref="D7:D10"/>
    <mergeCell ref="D11:D13"/>
    <mergeCell ref="D14:D16"/>
    <mergeCell ref="A7:A16"/>
    <mergeCell ref="C7:C10"/>
    <mergeCell ref="C11:C13"/>
    <mergeCell ref="C14:C16"/>
    <mergeCell ref="D19:D21"/>
    <mergeCell ref="D22:D24"/>
    <mergeCell ref="C17:C21"/>
    <mergeCell ref="D25:D30"/>
    <mergeCell ref="D31:D35"/>
    <mergeCell ref="A45:A102"/>
    <mergeCell ref="C107:C111"/>
    <mergeCell ref="C129:C133"/>
    <mergeCell ref="C45:C56"/>
    <mergeCell ref="C57:C58"/>
    <mergeCell ref="C59:C63"/>
    <mergeCell ref="C64:C76"/>
    <mergeCell ref="C112:C121"/>
    <mergeCell ref="C103:C106"/>
    <mergeCell ref="C122:C123"/>
    <mergeCell ref="A103:A138"/>
    <mergeCell ref="C77:C83"/>
    <mergeCell ref="C84:C96"/>
    <mergeCell ref="C97:C102"/>
    <mergeCell ref="C124:C128"/>
    <mergeCell ref="C134:C136"/>
    <mergeCell ref="A260:A290"/>
    <mergeCell ref="A298:A316"/>
    <mergeCell ref="C260:C261"/>
    <mergeCell ref="A330:A333"/>
    <mergeCell ref="A334:A341"/>
    <mergeCell ref="A317:A318"/>
    <mergeCell ref="A319:A329"/>
    <mergeCell ref="A291:A297"/>
    <mergeCell ref="A185:A202"/>
    <mergeCell ref="C198:C199"/>
    <mergeCell ref="C200:C201"/>
    <mergeCell ref="A203:A204"/>
    <mergeCell ref="C205:C206"/>
    <mergeCell ref="A205:A211"/>
    <mergeCell ref="C185:C187"/>
    <mergeCell ref="C188:C191"/>
    <mergeCell ref="C193:C194"/>
    <mergeCell ref="C203:C204"/>
    <mergeCell ref="C291:C297"/>
    <mergeCell ref="C223:C233"/>
    <mergeCell ref="C255:C256"/>
    <mergeCell ref="C257:C258"/>
    <mergeCell ref="A223:A259"/>
    <mergeCell ref="C300:C301"/>
    <mergeCell ref="A214:A222"/>
    <mergeCell ref="C234:C236"/>
    <mergeCell ref="A212:A213"/>
    <mergeCell ref="C214:C222"/>
    <mergeCell ref="C179:C181"/>
    <mergeCell ref="C139:C147"/>
    <mergeCell ref="C148:C154"/>
    <mergeCell ref="C155:C160"/>
    <mergeCell ref="C161:C171"/>
    <mergeCell ref="C172:C178"/>
    <mergeCell ref="A139:A184"/>
    <mergeCell ref="B223:B259"/>
    <mergeCell ref="D45:D56"/>
    <mergeCell ref="D57:D58"/>
    <mergeCell ref="D59:D63"/>
    <mergeCell ref="D64:D76"/>
    <mergeCell ref="D77:D83"/>
    <mergeCell ref="D84:D96"/>
    <mergeCell ref="D97:D102"/>
    <mergeCell ref="D103:D104"/>
    <mergeCell ref="D105:D106"/>
    <mergeCell ref="D107:D111"/>
    <mergeCell ref="D112:D113"/>
    <mergeCell ref="D114:D115"/>
    <mergeCell ref="D120:D121"/>
    <mergeCell ref="D124:D125"/>
    <mergeCell ref="D122:D123"/>
    <mergeCell ref="D126:D127"/>
    <mergeCell ref="D129:D133"/>
    <mergeCell ref="D205:D206"/>
    <mergeCell ref="D135:D136"/>
    <mergeCell ref="D198:D199"/>
    <mergeCell ref="D200:D201"/>
    <mergeCell ref="D203:D204"/>
    <mergeCell ref="D161:D171"/>
    <mergeCell ref="D172:D178"/>
    <mergeCell ref="D185:D187"/>
    <mergeCell ref="D188:D191"/>
    <mergeCell ref="D193:D194"/>
    <mergeCell ref="D139:D147"/>
    <mergeCell ref="D148:D154"/>
    <mergeCell ref="D155:D160"/>
    <mergeCell ref="C319:C321"/>
    <mergeCell ref="D260:D261"/>
    <mergeCell ref="C275:C277"/>
    <mergeCell ref="C278:C280"/>
    <mergeCell ref="D179:D181"/>
    <mergeCell ref="D255:D256"/>
    <mergeCell ref="D207:D211"/>
    <mergeCell ref="D223:D233"/>
    <mergeCell ref="D234:D236"/>
    <mergeCell ref="D242:D244"/>
    <mergeCell ref="D245:D246"/>
    <mergeCell ref="D248:D249"/>
    <mergeCell ref="D240:D241"/>
    <mergeCell ref="D214:D222"/>
    <mergeCell ref="C207:C211"/>
    <mergeCell ref="C245:C249"/>
    <mergeCell ref="C242:C244"/>
    <mergeCell ref="C237:C241"/>
    <mergeCell ref="D237:D239"/>
    <mergeCell ref="D262:D267"/>
    <mergeCell ref="D268:D270"/>
    <mergeCell ref="D271:D274"/>
    <mergeCell ref="D275:D277"/>
    <mergeCell ref="D257:D258"/>
    <mergeCell ref="C322:C324"/>
    <mergeCell ref="D300:D301"/>
    <mergeCell ref="L5:L6"/>
    <mergeCell ref="M5:M6"/>
    <mergeCell ref="N5:N6"/>
    <mergeCell ref="B7:B16"/>
    <mergeCell ref="A361:A373"/>
    <mergeCell ref="A358:A360"/>
    <mergeCell ref="C314:C316"/>
    <mergeCell ref="D314:D316"/>
    <mergeCell ref="C302:C303"/>
    <mergeCell ref="D302:D303"/>
    <mergeCell ref="C305:C308"/>
    <mergeCell ref="D305:D308"/>
    <mergeCell ref="C310:C312"/>
    <mergeCell ref="D310:D312"/>
    <mergeCell ref="A342:A349"/>
    <mergeCell ref="A350:A351"/>
    <mergeCell ref="D352:D357"/>
    <mergeCell ref="C342:C343"/>
    <mergeCell ref="C347:C348"/>
    <mergeCell ref="A352:A357"/>
    <mergeCell ref="C352:C357"/>
    <mergeCell ref="C334:C341"/>
  </mergeCells>
  <phoneticPr fontId="24" type="noConversion"/>
  <conditionalFormatting sqref="T205:T211 T291:T297 W291:W297 T351:T352 T319:T329 T212:U213 T214:T221 S222:T222 T7:T16 T124 O122:P123 O125:P125 T126 T128:T202 O127:P127 T223:T274 T330:U330 T331 T333:T341 W351:W352 W185:Z202 W203:W274 W7:W72 W333:W341 W332:Z332 W319:W331 O358:P360 O361:O373 Z7:Z136 Z139:Z184 Z259:AX259 Z203:Z258 Z260:Z301 T313:W315 Z313:Z331 V208:V210 T354:W357 S188 S193 S190:S191 S198 S200 S202 V188 V190:V191 T97:T121 Q84:T96 Q45:V83 Z333:Z357 V353:W353 AC260:AC301 AC7:AC136 AF7:AX16 AC139:AC258 AC313:AC357 AF317:AX318 AG313:AX316 W74:W77 W79:W184 AF260:AF297 AF212:AX213 AF319:AF357 AI319:AX357 AF214:AF258 AI214:AX258 AI260:AX297 AF139:AF211 AI139:AX211 Z304:AD304 AF304:AG304 AI304:AX304 Z305:AX309 Z312:AG312 Z310:AA311 AC310:AD311 AF310:AG311 AI310:AX312 Z302:AX303 AF298:AX301 AF17:AF136 AI17:AX136 Z137:AX138 O291:Q297 O351:Q357 O342:W349 O203:T204 O332:T332 Q7:Q16 O124:Q124 O126:Q126 O7:P120 Q103:Q121 O319:Q331 O333:Q341 O275:W290 P350:Q350 O205:R213 O298:W312 O128:Q202 O214:Q274 O316:W318 O313:Q315">
    <cfRule type="expression" dxfId="137" priority="160">
      <formula>$I7="%"</formula>
    </cfRule>
  </conditionalFormatting>
  <conditionalFormatting sqref="S205:S210">
    <cfRule type="expression" dxfId="136" priority="157">
      <formula>$I205="%"</formula>
    </cfRule>
  </conditionalFormatting>
  <conditionalFormatting sqref="S211">
    <cfRule type="expression" dxfId="135" priority="156">
      <formula>$I211="%"</formula>
    </cfRule>
  </conditionalFormatting>
  <conditionalFormatting sqref="U205:U210">
    <cfRule type="expression" dxfId="134" priority="155">
      <formula>$I205="%"</formula>
    </cfRule>
  </conditionalFormatting>
  <conditionalFormatting sqref="V205:V206">
    <cfRule type="expression" dxfId="133" priority="154">
      <formula>$I205="%"</formula>
    </cfRule>
  </conditionalFormatting>
  <conditionalFormatting sqref="S212:S213">
    <cfRule type="expression" dxfId="132" priority="153">
      <formula>$I212="%"</formula>
    </cfRule>
  </conditionalFormatting>
  <conditionalFormatting sqref="V212:V213">
    <cfRule type="expression" dxfId="131" priority="152">
      <formula>$I212="%"</formula>
    </cfRule>
  </conditionalFormatting>
  <conditionalFormatting sqref="S291:S297">
    <cfRule type="expression" dxfId="130" priority="151">
      <formula>$I291="%"</formula>
    </cfRule>
  </conditionalFormatting>
  <conditionalFormatting sqref="R291:R297">
    <cfRule type="expression" dxfId="129" priority="150">
      <formula>$I291="%"</formula>
    </cfRule>
  </conditionalFormatting>
  <conditionalFormatting sqref="V291:V297">
    <cfRule type="expression" dxfId="128" priority="149">
      <formula>$I291="%"</formula>
    </cfRule>
  </conditionalFormatting>
  <conditionalFormatting sqref="U291:U297">
    <cfRule type="expression" dxfId="127" priority="148">
      <formula>$I291="%"</formula>
    </cfRule>
  </conditionalFormatting>
  <conditionalFormatting sqref="R352:R357">
    <cfRule type="expression" dxfId="126" priority="145">
      <formula>$I352="%"</formula>
    </cfRule>
  </conditionalFormatting>
  <conditionalFormatting sqref="S352:S357">
    <cfRule type="expression" dxfId="125" priority="144">
      <formula>$I352="%"</formula>
    </cfRule>
  </conditionalFormatting>
  <conditionalFormatting sqref="V352">
    <cfRule type="expression" dxfId="124" priority="143">
      <formula>$I352="%"</formula>
    </cfRule>
  </conditionalFormatting>
  <conditionalFormatting sqref="U352">
    <cfRule type="expression" dxfId="123" priority="142">
      <formula>$I352="%"</formula>
    </cfRule>
  </conditionalFormatting>
  <conditionalFormatting sqref="S350:S351 R259:S259 R234:S234 U223:U227 U228:V228 U257:V259 U255 U234:V254 T358:T360 W358:W360 Z358:Z360 AC358:AC360 AF358:AF360 R236:S236 S235 R240:S240 S237:S239 R243:S243 S241:S242 R246:S246 S244:S245 R248:S253 S247 S254 S257:S258 AI358:AX360">
    <cfRule type="expression" dxfId="122" priority="141">
      <formula>$K223="%"</formula>
    </cfRule>
  </conditionalFormatting>
  <conditionalFormatting sqref="V351">
    <cfRule type="expression" dxfId="121" priority="140">
      <formula>$K351="%"</formula>
    </cfRule>
  </conditionalFormatting>
  <conditionalFormatting sqref="R351">
    <cfRule type="expression" dxfId="120" priority="138">
      <formula>$K351="%"</formula>
    </cfRule>
  </conditionalFormatting>
  <conditionalFormatting sqref="U351">
    <cfRule type="expression" dxfId="119" priority="137">
      <formula>$K351="%"</formula>
    </cfRule>
  </conditionalFormatting>
  <conditionalFormatting sqref="R319:R329">
    <cfRule type="expression" dxfId="118" priority="136">
      <formula>$I319="%"</formula>
    </cfRule>
  </conditionalFormatting>
  <conditionalFormatting sqref="R214:R222">
    <cfRule type="expression" dxfId="117" priority="128">
      <formula>$I214="%"</formula>
    </cfRule>
  </conditionalFormatting>
  <conditionalFormatting sqref="U319:U329">
    <cfRule type="expression" dxfId="116" priority="134">
      <formula>$I319="%"</formula>
    </cfRule>
  </conditionalFormatting>
  <conditionalFormatting sqref="R334:S341">
    <cfRule type="expression" dxfId="115" priority="133">
      <formula>$I334="%"</formula>
    </cfRule>
  </conditionalFormatting>
  <conditionalFormatting sqref="U334:V341">
    <cfRule type="expression" dxfId="114" priority="132">
      <formula>$I334="%"</formula>
    </cfRule>
  </conditionalFormatting>
  <conditionalFormatting sqref="S214:S221">
    <cfRule type="expression" dxfId="113" priority="131">
      <formula>$I214="%"</formula>
    </cfRule>
  </conditionalFormatting>
  <conditionalFormatting sqref="V214:V222">
    <cfRule type="expression" dxfId="112" priority="130">
      <formula>$I214="%"</formula>
    </cfRule>
  </conditionalFormatting>
  <conditionalFormatting sqref="U214:U222">
    <cfRule type="expression" dxfId="111" priority="129">
      <formula>$I214="%"</formula>
    </cfRule>
  </conditionalFormatting>
  <conditionalFormatting sqref="S185">
    <cfRule type="expression" dxfId="110" priority="115">
      <formula>$I185="%"</formula>
    </cfRule>
  </conditionalFormatting>
  <conditionalFormatting sqref="S192">
    <cfRule type="expression" dxfId="109" priority="114">
      <formula>$K192="%"</formula>
    </cfRule>
  </conditionalFormatting>
  <conditionalFormatting sqref="S195">
    <cfRule type="expression" dxfId="108" priority="113">
      <formula>$K195="%"</formula>
    </cfRule>
  </conditionalFormatting>
  <conditionalFormatting sqref="S196">
    <cfRule type="expression" dxfId="107" priority="112">
      <formula>$I196="%"</formula>
    </cfRule>
  </conditionalFormatting>
  <conditionalFormatting sqref="S197">
    <cfRule type="expression" dxfId="106" priority="111">
      <formula>$K197="%"</formula>
    </cfRule>
  </conditionalFormatting>
  <conditionalFormatting sqref="S186">
    <cfRule type="expression" dxfId="105" priority="110">
      <formula>$I186="%"</formula>
    </cfRule>
  </conditionalFormatting>
  <conditionalFormatting sqref="S187">
    <cfRule type="expression" dxfId="104" priority="109">
      <formula>$I187="%"</formula>
    </cfRule>
  </conditionalFormatting>
  <conditionalFormatting sqref="S189">
    <cfRule type="expression" dxfId="103" priority="108">
      <formula>$I189="%"</formula>
    </cfRule>
  </conditionalFormatting>
  <conditionalFormatting sqref="S201">
    <cfRule type="expression" dxfId="102" priority="107">
      <formula>$I201="%"</formula>
    </cfRule>
  </conditionalFormatting>
  <conditionalFormatting sqref="S199">
    <cfRule type="expression" dxfId="101" priority="106">
      <formula>$I199="%"</formula>
    </cfRule>
  </conditionalFormatting>
  <conditionalFormatting sqref="S194">
    <cfRule type="expression" dxfId="100" priority="105">
      <formula>$I194="%"</formula>
    </cfRule>
  </conditionalFormatting>
  <conditionalFormatting sqref="V185">
    <cfRule type="expression" dxfId="99" priority="104">
      <formula>$I185="%"</formula>
    </cfRule>
  </conditionalFormatting>
  <conditionalFormatting sqref="V192">
    <cfRule type="containsText" dxfId="98" priority="103" operator="containsText" text="x">
      <formula>NOT(ISERROR(SEARCH("x",V192)))</formula>
    </cfRule>
  </conditionalFormatting>
  <conditionalFormatting sqref="V193">
    <cfRule type="containsText" dxfId="97" priority="102" operator="containsText" text="x">
      <formula>NOT(ISERROR(SEARCH("x",V193)))</formula>
    </cfRule>
  </conditionalFormatting>
  <conditionalFormatting sqref="V198">
    <cfRule type="containsText" dxfId="96" priority="101" operator="containsText" text="x">
      <formula>NOT(ISERROR(SEARCH("x",V198)))</formula>
    </cfRule>
  </conditionalFormatting>
  <conditionalFormatting sqref="V200">
    <cfRule type="containsText" dxfId="95" priority="100" operator="containsText" text="x">
      <formula>NOT(ISERROR(SEARCH("x",V200)))</formula>
    </cfRule>
  </conditionalFormatting>
  <conditionalFormatting sqref="V201">
    <cfRule type="containsText" dxfId="94" priority="99" operator="containsText" text="x">
      <formula>NOT(ISERROR(SEARCH("x",V201)))</formula>
    </cfRule>
  </conditionalFormatting>
  <conditionalFormatting sqref="V195">
    <cfRule type="expression" dxfId="93" priority="98">
      <formula>$I195="%"</formula>
    </cfRule>
  </conditionalFormatting>
  <conditionalFormatting sqref="V196">
    <cfRule type="containsText" dxfId="92" priority="97" operator="containsText" text="x">
      <formula>NOT(ISERROR(SEARCH("x",V196)))</formula>
    </cfRule>
  </conditionalFormatting>
  <conditionalFormatting sqref="V197">
    <cfRule type="expression" dxfId="91" priority="96">
      <formula>$I197="%"</formula>
    </cfRule>
  </conditionalFormatting>
  <conditionalFormatting sqref="V202">
    <cfRule type="expression" dxfId="90" priority="95">
      <formula>$I202="%"</formula>
    </cfRule>
  </conditionalFormatting>
  <conditionalFormatting sqref="V186">
    <cfRule type="expression" dxfId="89" priority="94">
      <formula>$I186="%"</formula>
    </cfRule>
  </conditionalFormatting>
  <conditionalFormatting sqref="V187">
    <cfRule type="expression" dxfId="88" priority="93">
      <formula>$I187="%"</formula>
    </cfRule>
  </conditionalFormatting>
  <conditionalFormatting sqref="V189">
    <cfRule type="expression" dxfId="87" priority="92">
      <formula>$I189="%"</formula>
    </cfRule>
  </conditionalFormatting>
  <conditionalFormatting sqref="V194">
    <cfRule type="containsText" dxfId="86" priority="91" operator="containsText" text="x">
      <formula>NOT(ISERROR(SEARCH("x",V194)))</formula>
    </cfRule>
  </conditionalFormatting>
  <conditionalFormatting sqref="V199">
    <cfRule type="containsText" dxfId="85" priority="90" operator="containsText" text="x">
      <formula>NOT(ISERROR(SEARCH("x",V199)))</formula>
    </cfRule>
  </conditionalFormatting>
  <conditionalFormatting sqref="U185:U202">
    <cfRule type="expression" dxfId="84" priority="89">
      <formula>$I185="%"</formula>
    </cfRule>
  </conditionalFormatting>
  <conditionalFormatting sqref="S260:S274">
    <cfRule type="expression" dxfId="83" priority="87">
      <formula>$I260="%"</formula>
    </cfRule>
  </conditionalFormatting>
  <conditionalFormatting sqref="R260:R274">
    <cfRule type="expression" dxfId="82" priority="86">
      <formula>$I260="%"</formula>
    </cfRule>
  </conditionalFormatting>
  <conditionalFormatting sqref="V260:V274">
    <cfRule type="expression" dxfId="81" priority="85">
      <formula>$I260="%"</formula>
    </cfRule>
  </conditionalFormatting>
  <conditionalFormatting sqref="U260:U274">
    <cfRule type="expression" dxfId="80" priority="84">
      <formula>$I260="%"</formula>
    </cfRule>
  </conditionalFormatting>
  <conditionalFormatting sqref="R185:R202">
    <cfRule type="expression" dxfId="79" priority="83">
      <formula>$I185="%"</formula>
    </cfRule>
  </conditionalFormatting>
  <conditionalFormatting sqref="S319:S329">
    <cfRule type="expression" dxfId="78" priority="82">
      <formula>$I319="%"</formula>
    </cfRule>
  </conditionalFormatting>
  <conditionalFormatting sqref="V319:V329">
    <cfRule type="expression" dxfId="77" priority="81">
      <formula>$I319="%"</formula>
    </cfRule>
  </conditionalFormatting>
  <conditionalFormatting sqref="V203:V204">
    <cfRule type="expression" dxfId="76" priority="80">
      <formula>$I203="%"</formula>
    </cfRule>
  </conditionalFormatting>
  <conditionalFormatting sqref="U203:U204">
    <cfRule type="expression" dxfId="75" priority="79">
      <formula>$I203="%"</formula>
    </cfRule>
  </conditionalFormatting>
  <conditionalFormatting sqref="S139:S184">
    <cfRule type="expression" dxfId="74" priority="78">
      <formula>$I139="%"</formula>
    </cfRule>
  </conditionalFormatting>
  <conditionalFormatting sqref="R139:R184">
    <cfRule type="expression" dxfId="73" priority="77">
      <formula>$I139="%"</formula>
    </cfRule>
  </conditionalFormatting>
  <conditionalFormatting sqref="U139:V184">
    <cfRule type="expression" dxfId="72" priority="76">
      <formula>$I139="%"</formula>
    </cfRule>
  </conditionalFormatting>
  <conditionalFormatting sqref="V330:V333">
    <cfRule type="expression" dxfId="71" priority="75">
      <formula>$I330="%"</formula>
    </cfRule>
  </conditionalFormatting>
  <conditionalFormatting sqref="U331:U333">
    <cfRule type="expression" dxfId="70" priority="74">
      <formula>$I331="%"</formula>
    </cfRule>
  </conditionalFormatting>
  <conditionalFormatting sqref="R223:R233">
    <cfRule type="expression" dxfId="69" priority="73">
      <formula>$K223="%"</formula>
    </cfRule>
  </conditionalFormatting>
  <conditionalFormatting sqref="S223:S233">
    <cfRule type="expression" dxfId="68" priority="72">
      <formula>$K223="%"</formula>
    </cfRule>
  </conditionalFormatting>
  <conditionalFormatting sqref="S255:S256">
    <cfRule type="expression" dxfId="67" priority="71">
      <formula>$K255="%"</formula>
    </cfRule>
  </conditionalFormatting>
  <conditionalFormatting sqref="U229:U233">
    <cfRule type="expression" dxfId="66" priority="70">
      <formula>$K229="%"</formula>
    </cfRule>
  </conditionalFormatting>
  <conditionalFormatting sqref="V223:V227">
    <cfRule type="expression" dxfId="65" priority="69">
      <formula>$K223="%"</formula>
    </cfRule>
  </conditionalFormatting>
  <conditionalFormatting sqref="V229:V233">
    <cfRule type="expression" dxfId="64" priority="68">
      <formula>$K229="%"</formula>
    </cfRule>
  </conditionalFormatting>
  <conditionalFormatting sqref="V255:V256">
    <cfRule type="expression" dxfId="63" priority="67">
      <formula>$K255="%"</formula>
    </cfRule>
  </conditionalFormatting>
  <conditionalFormatting sqref="Q17:V44">
    <cfRule type="expression" dxfId="62" priority="66">
      <formula>$I17="%"</formula>
    </cfRule>
  </conditionalFormatting>
  <conditionalFormatting sqref="Q97:Q102">
    <cfRule type="expression" dxfId="61" priority="65">
      <formula>$I97="%"</formula>
    </cfRule>
  </conditionalFormatting>
  <conditionalFormatting sqref="U84:V96">
    <cfRule type="expression" dxfId="60" priority="64">
      <formula>$I84="%"</formula>
    </cfRule>
  </conditionalFormatting>
  <conditionalFormatting sqref="T350:W350">
    <cfRule type="expression" dxfId="59" priority="63">
      <formula>$I350="%"</formula>
    </cfRule>
  </conditionalFormatting>
  <conditionalFormatting sqref="T353">
    <cfRule type="expression" dxfId="58" priority="62">
      <formula>$I353="%"</formula>
    </cfRule>
  </conditionalFormatting>
  <conditionalFormatting sqref="Q123:V123">
    <cfRule type="expression" dxfId="57" priority="61">
      <formula>$K123="%"</formula>
    </cfRule>
  </conditionalFormatting>
  <conditionalFormatting sqref="Q122:V122">
    <cfRule type="expression" dxfId="56" priority="60">
      <formula>$K122="%"</formula>
    </cfRule>
  </conditionalFormatting>
  <conditionalFormatting sqref="Q125:V125">
    <cfRule type="expression" dxfId="55" priority="59">
      <formula>$K125="%"</formula>
    </cfRule>
  </conditionalFormatting>
  <conditionalFormatting sqref="V126">
    <cfRule type="expression" dxfId="54" priority="58">
      <formula>$K126="%"</formula>
    </cfRule>
  </conditionalFormatting>
  <conditionalFormatting sqref="Q127:V127">
    <cfRule type="expression" dxfId="53" priority="57">
      <formula>$K127="%"</formula>
    </cfRule>
  </conditionalFormatting>
  <conditionalFormatting sqref="O121:P121">
    <cfRule type="expression" dxfId="52" priority="56">
      <formula>$I121="%"</formula>
    </cfRule>
  </conditionalFormatting>
  <conditionalFormatting sqref="X340">
    <cfRule type="expression" dxfId="51" priority="54">
      <formula>$I340="%"</formula>
    </cfRule>
  </conditionalFormatting>
  <conditionalFormatting sqref="X341">
    <cfRule type="expression" dxfId="50" priority="52">
      <formula>$I341="%"</formula>
    </cfRule>
  </conditionalFormatting>
  <conditionalFormatting sqref="U102">
    <cfRule type="expression" dxfId="49" priority="51">
      <formula>$I102="%"</formula>
    </cfRule>
  </conditionalFormatting>
  <conditionalFormatting sqref="X233">
    <cfRule type="expression" dxfId="48" priority="50">
      <formula>$I233="%"</formula>
    </cfRule>
  </conditionalFormatting>
  <conditionalFormatting sqref="U256">
    <cfRule type="expression" dxfId="47" priority="49">
      <formula>$I256="%"</formula>
    </cfRule>
  </conditionalFormatting>
  <conditionalFormatting sqref="X256">
    <cfRule type="expression" dxfId="46" priority="48">
      <formula>$I256="%"</formula>
    </cfRule>
  </conditionalFormatting>
  <conditionalFormatting sqref="X258:X259">
    <cfRule type="expression" dxfId="45" priority="47">
      <formula>$I258="%"</formula>
    </cfRule>
  </conditionalFormatting>
  <conditionalFormatting sqref="X278">
    <cfRule type="expression" dxfId="44" priority="46">
      <formula>$I278="%"</formula>
    </cfRule>
  </conditionalFormatting>
  <conditionalFormatting sqref="R350">
    <cfRule type="expression" dxfId="43" priority="45">
      <formula>$I350="%"</formula>
    </cfRule>
  </conditionalFormatting>
  <conditionalFormatting sqref="O350">
    <cfRule type="expression" dxfId="42" priority="44">
      <formula>$I350="%"</formula>
    </cfRule>
  </conditionalFormatting>
  <conditionalFormatting sqref="U353">
    <cfRule type="expression" dxfId="41" priority="43">
      <formula>$I353="%"</formula>
    </cfRule>
  </conditionalFormatting>
  <conditionalFormatting sqref="X353">
    <cfRule type="expression" dxfId="40" priority="42">
      <formula>$I353="%"</formula>
    </cfRule>
  </conditionalFormatting>
  <conditionalFormatting sqref="X224">
    <cfRule type="expression" dxfId="39" priority="41">
      <formula>$I224="%"</formula>
    </cfRule>
  </conditionalFormatting>
  <conditionalFormatting sqref="X7:X11">
    <cfRule type="expression" dxfId="38" priority="40">
      <formula>$I7="%"</formula>
    </cfRule>
  </conditionalFormatting>
  <conditionalFormatting sqref="X12:X14">
    <cfRule type="expression" dxfId="37" priority="39">
      <formula>$I12="%"</formula>
    </cfRule>
  </conditionalFormatting>
  <conditionalFormatting sqref="X15:X16">
    <cfRule type="expression" dxfId="36" priority="38">
      <formula>$I15="%"</formula>
    </cfRule>
  </conditionalFormatting>
  <conditionalFormatting sqref="X310:X311">
    <cfRule type="expression" dxfId="35" priority="37">
      <formula>$I310="%"</formula>
    </cfRule>
  </conditionalFormatting>
  <conditionalFormatting sqref="Q358:Q360">
    <cfRule type="expression" dxfId="34" priority="36">
      <formula>$K358="%"</formula>
    </cfRule>
  </conditionalFormatting>
  <conditionalFormatting sqref="U358:U360">
    <cfRule type="expression" dxfId="33" priority="35">
      <formula>$K358="%"</formula>
    </cfRule>
  </conditionalFormatting>
  <conditionalFormatting sqref="R358:R360">
    <cfRule type="expression" dxfId="32" priority="34">
      <formula>$K358="%"</formula>
    </cfRule>
  </conditionalFormatting>
  <conditionalFormatting sqref="P364">
    <cfRule type="expression" dxfId="31" priority="33">
      <formula>$K364="%"</formula>
    </cfRule>
  </conditionalFormatting>
  <conditionalFormatting sqref="P361">
    <cfRule type="expression" dxfId="30" priority="32">
      <formula>$K361="%"</formula>
    </cfRule>
  </conditionalFormatting>
  <conditionalFormatting sqref="AA316:AB316">
    <cfRule type="expression" dxfId="29" priority="30">
      <formula>$I316="%"</formula>
    </cfRule>
  </conditionalFormatting>
  <conditionalFormatting sqref="AA353">
    <cfRule type="expression" dxfId="28" priority="29">
      <formula>$I353="%"</formula>
    </cfRule>
  </conditionalFormatting>
  <conditionalFormatting sqref="AD353">
    <cfRule type="expression" dxfId="27" priority="28">
      <formula>$I353="%"</formula>
    </cfRule>
  </conditionalFormatting>
  <conditionalFormatting sqref="R235">
    <cfRule type="expression" dxfId="26" priority="27">
      <formula>$K235="%"</formula>
    </cfRule>
  </conditionalFormatting>
  <conditionalFormatting sqref="R237">
    <cfRule type="expression" dxfId="25" priority="26">
      <formula>$K237="%"</formula>
    </cfRule>
  </conditionalFormatting>
  <conditionalFormatting sqref="R238">
    <cfRule type="expression" dxfId="24" priority="25">
      <formula>$K238="%"</formula>
    </cfRule>
  </conditionalFormatting>
  <conditionalFormatting sqref="R239">
    <cfRule type="expression" dxfId="23" priority="24">
      <formula>$K239="%"</formula>
    </cfRule>
  </conditionalFormatting>
  <conditionalFormatting sqref="R241">
    <cfRule type="expression" dxfId="22" priority="23">
      <formula>$K241="%"</formula>
    </cfRule>
  </conditionalFormatting>
  <conditionalFormatting sqref="R242">
    <cfRule type="expression" dxfId="21" priority="22">
      <formula>$K242="%"</formula>
    </cfRule>
  </conditionalFormatting>
  <conditionalFormatting sqref="R244">
    <cfRule type="expression" dxfId="20" priority="21">
      <formula>$K244="%"</formula>
    </cfRule>
  </conditionalFormatting>
  <conditionalFormatting sqref="R245">
    <cfRule type="expression" dxfId="19" priority="20">
      <formula>$K245="%"</formula>
    </cfRule>
  </conditionalFormatting>
  <conditionalFormatting sqref="R247">
    <cfRule type="expression" dxfId="18" priority="19">
      <formula>$K247="%"</formula>
    </cfRule>
  </conditionalFormatting>
  <conditionalFormatting sqref="R254">
    <cfRule type="expression" dxfId="17" priority="18">
      <formula>$K254="%"</formula>
    </cfRule>
  </conditionalFormatting>
  <conditionalFormatting sqref="R255">
    <cfRule type="expression" dxfId="16" priority="17">
      <formula>$K255="%"</formula>
    </cfRule>
  </conditionalFormatting>
  <conditionalFormatting sqref="R256">
    <cfRule type="expression" dxfId="15" priority="16">
      <formula>$K256="%"</formula>
    </cfRule>
  </conditionalFormatting>
  <conditionalFormatting sqref="R257">
    <cfRule type="expression" dxfId="14" priority="15">
      <formula>$K257="%"</formula>
    </cfRule>
  </conditionalFormatting>
  <conditionalFormatting sqref="R258">
    <cfRule type="expression" dxfId="13" priority="14">
      <formula>$K258="%"</formula>
    </cfRule>
  </conditionalFormatting>
  <conditionalFormatting sqref="R331">
    <cfRule type="expression" dxfId="12" priority="13">
      <formula>$K331="%"</formula>
    </cfRule>
  </conditionalFormatting>
  <conditionalFormatting sqref="AA341">
    <cfRule type="expression" dxfId="11" priority="12">
      <formula>$I341="%"</formula>
    </cfRule>
  </conditionalFormatting>
  <conditionalFormatting sqref="W73:X73">
    <cfRule type="expression" dxfId="10" priority="11">
      <formula>$I73="%"</formula>
    </cfRule>
  </conditionalFormatting>
  <conditionalFormatting sqref="AG135:AG136 AG103:AH134">
    <cfRule type="expression" dxfId="9" priority="10">
      <formula>$Z103="%"</formula>
    </cfRule>
  </conditionalFormatting>
  <conditionalFormatting sqref="AG350">
    <cfRule type="expression" dxfId="8" priority="9">
      <formula>$I350="%"</formula>
    </cfRule>
  </conditionalFormatting>
  <conditionalFormatting sqref="AG351">
    <cfRule type="expression" dxfId="7" priority="8">
      <formula>$I351="%"</formula>
    </cfRule>
  </conditionalFormatting>
  <conditionalFormatting sqref="AE304">
    <cfRule type="expression" dxfId="6" priority="7">
      <formula>$I304="%"</formula>
    </cfRule>
  </conditionalFormatting>
  <conditionalFormatting sqref="AH304">
    <cfRule type="expression" dxfId="5" priority="6">
      <formula>$I304="%"</formula>
    </cfRule>
  </conditionalFormatting>
  <conditionalFormatting sqref="AG37">
    <cfRule type="expression" dxfId="4" priority="5">
      <formula>$I37="%"</formula>
    </cfRule>
  </conditionalFormatting>
  <conditionalFormatting sqref="AE107:AE108">
    <cfRule type="expression" dxfId="3" priority="4">
      <formula>$Z107="%"</formula>
    </cfRule>
  </conditionalFormatting>
  <conditionalFormatting sqref="AE109:AE110">
    <cfRule type="expression" dxfId="2" priority="3">
      <formula>$Z109="%"</formula>
    </cfRule>
  </conditionalFormatting>
  <conditionalFormatting sqref="AE136">
    <cfRule type="expression" dxfId="1" priority="2">
      <formula>$I136="%"</formula>
    </cfRule>
  </conditionalFormatting>
  <conditionalFormatting sqref="AH136">
    <cfRule type="expression" dxfId="0" priority="1">
      <formula>$I136="%"</formula>
    </cfRule>
  </conditionalFormatting>
  <pageMargins left="0.11811023622047245" right="0.11811023622047245" top="0.15748031496062992" bottom="0.15748031496062992" header="0.31496062992125984" footer="0.31496062992125984"/>
  <pageSetup paperSize="5" scale="39" orientation="landscape" r:id="rId1"/>
  <colBreaks count="2" manualBreakCount="2">
    <brk id="34" max="372" man="1"/>
    <brk id="56" max="1048575" man="1"/>
  </col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Hoja1!$A$2:$A$18</xm:f>
          </x14:formula1>
          <xm:sqref>F342:F360 F203:F213 F223:F259 F275:F333 F7:F184</xm:sqref>
        </x14:dataValidation>
        <x14:dataValidation type="list" allowBlank="1" showInputMessage="1" showErrorMessage="1">
          <x14:formula1>
            <xm:f>[2]Hoja1!#REF!</xm:f>
          </x14:formula1>
          <xm:sqref>F334:F341 F185:F202 F260:F274</xm:sqref>
        </x14:dataValidation>
        <x14:dataValidation type="list" allowBlank="1" showInputMessage="1" showErrorMessage="1">
          <x14:formula1>
            <xm:f>[1]Hoja1!#REF!</xm:f>
          </x14:formula1>
          <xm:sqref>F214:F222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baseColWidth="10" defaultColWidth="11.42578125" defaultRowHeight="15"/>
  <cols>
    <col min="1" max="1" width="70.28515625" bestFit="1" customWidth="1"/>
  </cols>
  <sheetData>
    <row r="1" spans="1:1">
      <c r="A1" s="6" t="s">
        <v>2885</v>
      </c>
    </row>
    <row r="2" spans="1:1">
      <c r="A2" t="s">
        <v>690</v>
      </c>
    </row>
    <row r="3" spans="1:1">
      <c r="A3" t="s">
        <v>531</v>
      </c>
    </row>
    <row r="4" spans="1:1">
      <c r="A4" t="s">
        <v>683</v>
      </c>
    </row>
    <row r="5" spans="1:1">
      <c r="A5" t="s">
        <v>472</v>
      </c>
    </row>
    <row r="6" spans="1:1">
      <c r="A6" t="s">
        <v>2501</v>
      </c>
    </row>
    <row r="7" spans="1:1">
      <c r="A7" t="s">
        <v>1878</v>
      </c>
    </row>
    <row r="8" spans="1:1">
      <c r="A8" t="s">
        <v>2886</v>
      </c>
    </row>
    <row r="9" spans="1:1">
      <c r="A9" t="s">
        <v>2887</v>
      </c>
    </row>
    <row r="10" spans="1:1">
      <c r="A10" t="s">
        <v>2607</v>
      </c>
    </row>
    <row r="11" spans="1:1">
      <c r="A11" t="s">
        <v>2888</v>
      </c>
    </row>
    <row r="12" spans="1:1">
      <c r="A12" t="s">
        <v>2889</v>
      </c>
    </row>
    <row r="13" spans="1:1">
      <c r="A13" t="s">
        <v>2890</v>
      </c>
    </row>
    <row r="14" spans="1:1">
      <c r="A14" t="s">
        <v>2891</v>
      </c>
    </row>
    <row r="15" spans="1:1">
      <c r="A15" t="s">
        <v>2491</v>
      </c>
    </row>
    <row r="16" spans="1:1">
      <c r="A16" t="s">
        <v>2892</v>
      </c>
    </row>
    <row r="17" spans="1:1">
      <c r="A17" t="s">
        <v>380</v>
      </c>
    </row>
    <row r="18" spans="1:1">
      <c r="A18" t="s">
        <v>1694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Hoja4</vt:lpstr>
      <vt:lpstr>Metas Productos %</vt:lpstr>
      <vt:lpstr>Junio MP %</vt:lpstr>
      <vt:lpstr>Metas Productos</vt:lpstr>
      <vt:lpstr>Hoja1</vt:lpstr>
      <vt:lpstr>'Metas Productos'!Área_de_impresión</vt:lpstr>
      <vt:lpstr>'Metas Productos'!Títulos_a_imprimir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Gutiérrez López</dc:creator>
  <cp:keywords/>
  <dc:description/>
  <cp:lastModifiedBy>Familia Jácome</cp:lastModifiedBy>
  <cp:revision/>
  <cp:lastPrinted>2021-07-26T20:58:02Z</cp:lastPrinted>
  <dcterms:created xsi:type="dcterms:W3CDTF">2021-02-17T00:34:00Z</dcterms:created>
  <dcterms:modified xsi:type="dcterms:W3CDTF">2021-08-25T15:50:28Z</dcterms:modified>
  <cp:category/>
  <cp:contentStatus/>
</cp:coreProperties>
</file>